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ients\Pivot (Multiple)\Budgets\2023-2024\"/>
    </mc:Choice>
  </mc:AlternateContent>
  <xr:revisionPtr revIDLastSave="0" documentId="13_ncr:1_{FAD3F8CA-33E7-4081-89AF-5EB9E37029BD}" xr6:coauthVersionLast="47" xr6:coauthVersionMax="47" xr10:uidLastSave="{00000000-0000-0000-0000-000000000000}"/>
  <bookViews>
    <workbookView xWindow="-120" yWindow="-120" windowWidth="24240" windowHeight="13140" xr2:uid="{13C0501A-F401-4E95-80F2-1F30EBE63E32}"/>
  </bookViews>
  <sheets>
    <sheet name="Budget" sheetId="1" r:id="rId1"/>
    <sheet name="funding" sheetId="4" r:id="rId2"/>
    <sheet name="payroll" sheetId="3" r:id="rId3"/>
  </sheets>
  <externalReferences>
    <externalReference r:id="rId4"/>
  </externalReferences>
  <definedNames>
    <definedName name="_xlnm.Print_Titles" localSheetId="0">Budget!$A:$F,Budget!$1:$1</definedName>
    <definedName name="QB_COLUMN_2921" localSheetId="0" hidden="1">Budget!$G$1</definedName>
    <definedName name="QB_COLUMN_29210" localSheetId="0" hidden="1">Budget!$P$1</definedName>
    <definedName name="QB_COLUMN_2922" localSheetId="0" hidden="1">Budget!$H$1</definedName>
    <definedName name="QB_COLUMN_2923" localSheetId="0" hidden="1">Budget!$I$1</definedName>
    <definedName name="QB_COLUMN_2924" localSheetId="0" hidden="1">Budget!$J$1</definedName>
    <definedName name="QB_COLUMN_2925" localSheetId="0" hidden="1">Budget!$K$1</definedName>
    <definedName name="QB_COLUMN_2926" localSheetId="0" hidden="1">Budget!$L$1</definedName>
    <definedName name="QB_COLUMN_2927" localSheetId="0" hidden="1">Budget!$M$1</definedName>
    <definedName name="QB_COLUMN_2928" localSheetId="0" hidden="1">Budget!$N$1</definedName>
    <definedName name="QB_COLUMN_2929" localSheetId="0" hidden="1">Budget!$O$1</definedName>
    <definedName name="QB_COLUMN_2930" localSheetId="0" hidden="1">Budget!$S$1</definedName>
    <definedName name="QB_DATA_0" localSheetId="0" hidden="1">Budget!$5:$5,Budget!$6:$6,Budget!$7:$7,Budget!$8:$8,Budget!$9:$9,Budget!$10:$10,Budget!$12:$12,Budget!$14:$14,Budget!$15:$15,Budget!$16:$16,Budget!$19:$19,Budget!$25:$25,Budget!$26:$26,Budget!$27:$27,Budget!$28:$28,Budget!$29:$29</definedName>
    <definedName name="QB_DATA_1" localSheetId="0" hidden="1">Budget!$30:$30,Budget!$31:$31,Budget!$32:$32,Budget!$33:$33,Budget!$34:$34,Budget!$35:$35,Budget!$43:$43,Budget!$46:$46,Budget!$57:$57,Budget!$60:$60,Budget!$63:$63,Budget!$64:$64,Budget!$67:$67,Budget!$70:$70,Budget!$71:$71,Budget!$72:$72</definedName>
    <definedName name="QB_DATA_2" localSheetId="0" hidden="1">Budget!$73:$73,Budget!$74:$74,Budget!$75:$75,Budget!$76:$76,Budget!$77:$77,Budget!$78:$78,Budget!$79:$79,Budget!$80:$80,Budget!$81:$81,Budget!$82:$82,Budget!$83:$83,Budget!$84:$84,Budget!$85:$85,Budget!$88:$88,Budget!$91:$91,Budget!$94:$94</definedName>
    <definedName name="QB_DATA_3" localSheetId="0" hidden="1">Budget!$96:$96,Budget!$98:$98,Budget!$99:$99,Budget!$100:$100,Budget!$101:$101,Budget!$102:$102,Budget!$103:$103,Budget!$104:$104,Budget!$105:$105,Budget!$106:$106,Budget!$109:$109,Budget!$110:$110,Budget!$112:$112,Budget!$114:$114,Budget!$115:$115</definedName>
    <definedName name="QB_FORMULA_0" localSheetId="0" hidden="1">Budget!$S$5,Budget!$S$6,Budget!$S$7,Budget!$S$8,Budget!$S$9,Budget!$S$10,Budget!$G$11,Budget!$H$11,Budget!$I$11,Budget!$J$11,Budget!$K$11,Budget!$L$11,Budget!$M$11,Budget!$N$11,Budget!$O$11,Budget!$P$11</definedName>
    <definedName name="QB_FORMULA_1" localSheetId="0" hidden="1">Budget!$S$11,Budget!$S$12,Budget!$S$14,Budget!$S$15,Budget!$S$16,Budget!$G$17,Budget!$H$17,Budget!$I$17,Budget!$J$17,Budget!$K$17,Budget!$L$17,Budget!$M$17,Budget!$N$17,Budget!$O$17,Budget!$P$17,Budget!$S$17</definedName>
    <definedName name="QB_FORMULA_10" localSheetId="0" hidden="1">Budget!$S$80,Budget!$S$81,Budget!$S$82,Budget!$S$83,Budget!$S$84,Budget!$S$85,Budget!$G$86,Budget!$H$86,Budget!$I$86,Budget!$J$86,Budget!$K$86,Budget!$L$86,Budget!$M$86,Budget!$N$86,Budget!$O$86,Budget!$P$86</definedName>
    <definedName name="QB_FORMULA_11" localSheetId="0" hidden="1">Budget!$S$86,Budget!$S$88,Budget!$G$89,Budget!$H$89,Budget!$I$89,Budget!$J$89,Budget!$K$89,Budget!$L$89,Budget!$M$89,Budget!$N$89,Budget!$O$89,Budget!$P$89,Budget!$S$89,Budget!$S$91,Budget!$G$92,Budget!$H$92</definedName>
    <definedName name="QB_FORMULA_12" localSheetId="0" hidden="1">Budget!$I$92,Budget!$J$92,Budget!$K$92,Budget!$L$92,Budget!$M$92,Budget!$N$92,Budget!$O$92,Budget!$P$92,Budget!$S$92,Budget!$S$94,Budget!$G$95,Budget!$H$95,Budget!$I$95,Budget!$J$95,Budget!$K$95,Budget!$L$95</definedName>
    <definedName name="QB_FORMULA_13" localSheetId="0" hidden="1">Budget!$M$95,Budget!$N$95,Budget!$O$95,Budget!$P$95,Budget!$S$95,Budget!$S$96,Budget!$S$98,Budget!$S$99,Budget!$S$100,Budget!$S$101,Budget!$S$102,Budget!$S$103,Budget!$S$104,Budget!$S$105,Budget!$S$106,Budget!$G$107</definedName>
    <definedName name="QB_FORMULA_14" localSheetId="0" hidden="1">Budget!$H$107,Budget!$I$107,Budget!$J$107,Budget!$K$107,Budget!$L$107,Budget!$M$107,Budget!$N$107,Budget!$O$107,Budget!$P$107,Budget!$S$107,Budget!$S$109,Budget!$S$110,Budget!$G$111,Budget!$H$111,Budget!$I$111,Budget!$J$111</definedName>
    <definedName name="QB_FORMULA_15" localSheetId="0" hidden="1">Budget!$K$111,Budget!$L$111,Budget!$M$111,Budget!$N$111,Budget!$O$111,Budget!$P$111,Budget!$S$111,Budget!$S$112,Budget!$S$114,Budget!$S$115,Budget!$G$116,Budget!$H$116,Budget!$I$116,Budget!$J$116,Budget!$K$116,Budget!$L$116</definedName>
    <definedName name="QB_FORMULA_16" localSheetId="0" hidden="1">Budget!$M$116,Budget!$N$116,Budget!$O$116,Budget!$P$116,Budget!$S$116,Budget!$G$117,Budget!$H$117,Budget!$I$117,Budget!$J$117,Budget!$K$117,Budget!$L$117,Budget!$M$117,Budget!$N$117,Budget!$O$117,Budget!$P$117,Budget!$S$117</definedName>
    <definedName name="QB_FORMULA_17" localSheetId="0" hidden="1">Budget!$G$118,Budget!$H$118,Budget!$I$118,Budget!$J$118,Budget!$K$118,Budget!$L$118,Budget!$M$118,Budget!$N$118,Budget!$O$118,Budget!$P$118,Budget!$S$118,Budget!$G$119,Budget!$H$119,Budget!$I$119,Budget!$J$119,Budget!$K$119</definedName>
    <definedName name="QB_FORMULA_18" localSheetId="0" hidden="1">Budget!$L$119,Budget!$M$119,Budget!$N$119,Budget!$O$119,Budget!$P$119,Budget!$S$119,Budget!$G$120,Budget!$H$120,Budget!$I$120,Budget!$J$120,Budget!$K$120,Budget!$L$120,Budget!$M$120,Budget!$N$120,Budget!$O$120,Budget!$P$120</definedName>
    <definedName name="QB_FORMULA_19" localSheetId="0" hidden="1">Budget!$S$120</definedName>
    <definedName name="QB_FORMULA_2" localSheetId="0" hidden="1">Budget!$S$19,Budget!$G$20,Budget!$H$20,Budget!$I$20,Budget!$J$20,Budget!$K$20,Budget!$L$20,Budget!$M$20,Budget!$N$20,Budget!$O$20,Budget!$P$20,Budget!$S$20,Budget!$G$21,Budget!$H$21,Budget!$I$21,Budget!$J$21</definedName>
    <definedName name="QB_FORMULA_3" localSheetId="0" hidden="1">Budget!$K$21,Budget!$L$21,Budget!$M$21,Budget!$N$21,Budget!$O$21,Budget!$P$21,Budget!$S$21,Budget!$S$25,Budget!$S$26,Budget!$S$27,Budget!$S$28,Budget!$S$29,Budget!$S$30,Budget!$S$31,Budget!$S$32,Budget!$S$33</definedName>
    <definedName name="QB_FORMULA_4" localSheetId="0" hidden="1">Budget!$S$34,Budget!$S$35,Budget!$G$36,Budget!$H$36,Budget!$I$36,Budget!$J$36,Budget!$K$36,Budget!$L$36,Budget!$M$36,Budget!$N$36,Budget!$O$36,Budget!$P$36,Budget!$S$36,Budget!$S$43,Budget!$G$44,Budget!$H$44</definedName>
    <definedName name="QB_FORMULA_5" localSheetId="0" hidden="1">Budget!$I$44,Budget!$J$44,Budget!$K$44,Budget!$L$44,Budget!$M$44,Budget!$N$44,Budget!$O$44,Budget!$P$44,Budget!$S$44,Budget!$S$46,Budget!$G$47,Budget!$H$47,Budget!$I$47,Budget!$J$47,Budget!$K$47,Budget!$L$47</definedName>
    <definedName name="QB_FORMULA_6" localSheetId="0" hidden="1">Budget!$M$47,Budget!$N$47,Budget!$O$47,Budget!$P$47,Budget!$S$47,Budget!$S$57,Budget!$G$58,Budget!$H$58,Budget!$I$58,Budget!$J$58,Budget!$K$58,Budget!$L$58,Budget!$M$58,Budget!$N$58,Budget!$O$58,Budget!$P$58</definedName>
    <definedName name="QB_FORMULA_7" localSheetId="0" hidden="1">Budget!$S$58,Budget!$S$60,Budget!$G$61,Budget!$H$61,Budget!$I$61,Budget!$J$61,Budget!$K$61,Budget!$L$61,Budget!$M$61,Budget!$N$61,Budget!$O$61,Budget!$P$61,Budget!$S$61,Budget!$S$63,Budget!$S$64,Budget!$G$65</definedName>
    <definedName name="QB_FORMULA_8" localSheetId="0" hidden="1">Budget!$H$65,Budget!$I$65,Budget!$J$65,Budget!$K$65,Budget!$L$65,Budget!$M$65,Budget!$N$65,Budget!$O$65,Budget!$P$65,Budget!$S$65,Budget!$S$67,Budget!$G$68,Budget!$H$68,Budget!$I$68,Budget!$J$68,Budget!$K$68</definedName>
    <definedName name="QB_FORMULA_9" localSheetId="0" hidden="1">Budget!$L$68,Budget!$M$68,Budget!$N$68,Budget!$O$68,Budget!$P$68,Budget!$S$68,Budget!$S$70,Budget!$S$71,Budget!$S$72,Budget!$S$73,Budget!$S$74,Budget!$S$75,Budget!$S$76,Budget!$S$77,Budget!$S$78,Budget!$S$79</definedName>
    <definedName name="QB_ROW_111240" localSheetId="0" hidden="1">Budget!$E$6</definedName>
    <definedName name="QB_ROW_116240" localSheetId="0" hidden="1">Budget!$E$7</definedName>
    <definedName name="QB_ROW_118240" localSheetId="0" hidden="1">Budget!$E$8</definedName>
    <definedName name="QB_ROW_120240" localSheetId="0" hidden="1">Budget!$E$9</definedName>
    <definedName name="QB_ROW_122230" localSheetId="0" hidden="1">Budget!$D$12</definedName>
    <definedName name="QB_ROW_126240" localSheetId="0" hidden="1">Budget!$E$14</definedName>
    <definedName name="QB_ROW_130030" localSheetId="0" hidden="1">Budget!$D$13</definedName>
    <definedName name="QB_ROW_130330" localSheetId="0" hidden="1">Budget!$D$17</definedName>
    <definedName name="QB_ROW_131240" localSheetId="0" hidden="1">Budget!$E$15</definedName>
    <definedName name="QB_ROW_137030" localSheetId="0" hidden="1">Budget!$D$18</definedName>
    <definedName name="QB_ROW_137330" localSheetId="0" hidden="1">Budget!$D$20</definedName>
    <definedName name="QB_ROW_142030" localSheetId="0" hidden="1">Budget!$D$23</definedName>
    <definedName name="QB_ROW_142330" localSheetId="0" hidden="1">Budget!$D$117</definedName>
    <definedName name="QB_ROW_143040" localSheetId="0" hidden="1">Budget!$E$24</definedName>
    <definedName name="QB_ROW_143340" localSheetId="0" hidden="1">Budget!$E$36</definedName>
    <definedName name="QB_ROW_144250" localSheetId="0" hidden="1">Budget!$F$25</definedName>
    <definedName name="QB_ROW_146250" localSheetId="0" hidden="1">Budget!$F$26</definedName>
    <definedName name="QB_ROW_147250" localSheetId="0" hidden="1">Budget!$F$27</definedName>
    <definedName name="QB_ROW_148250" localSheetId="0" hidden="1">Budget!$F$28</definedName>
    <definedName name="QB_ROW_149250" localSheetId="0" hidden="1">Budget!$F$29</definedName>
    <definedName name="QB_ROW_151250" localSheetId="0" hidden="1">Budget!$F$30</definedName>
    <definedName name="QB_ROW_153250" localSheetId="0" hidden="1">Budget!$F$31</definedName>
    <definedName name="QB_ROW_154250" localSheetId="0" hidden="1">Budget!$F$32</definedName>
    <definedName name="QB_ROW_155250" localSheetId="0" hidden="1">Budget!$F$33</definedName>
    <definedName name="QB_ROW_156250" localSheetId="0" hidden="1">Budget!$F$34</definedName>
    <definedName name="QB_ROW_160040" localSheetId="0" hidden="1">Budget!$E$37</definedName>
    <definedName name="QB_ROW_160340" localSheetId="0" hidden="1">Budget!$E$44</definedName>
    <definedName name="QB_ROW_162250" localSheetId="0" hidden="1">Budget!$F$43</definedName>
    <definedName name="QB_ROW_163040" localSheetId="0" hidden="1">Budget!$E$45</definedName>
    <definedName name="QB_ROW_163340" localSheetId="0" hidden="1">Budget!$E$47</definedName>
    <definedName name="QB_ROW_164250" localSheetId="0" hidden="1">Budget!$F$46</definedName>
    <definedName name="QB_ROW_167040" localSheetId="0" hidden="1">Budget!$E$56</definedName>
    <definedName name="QB_ROW_167340" localSheetId="0" hidden="1">Budget!$E$58</definedName>
    <definedName name="QB_ROW_169250" localSheetId="0" hidden="1">Budget!$F$57</definedName>
    <definedName name="QB_ROW_170040" localSheetId="0" hidden="1">Budget!$E$62</definedName>
    <definedName name="QB_ROW_170340" localSheetId="0" hidden="1">Budget!$E$65</definedName>
    <definedName name="QB_ROW_171040" localSheetId="0" hidden="1">Budget!$E$69</definedName>
    <definedName name="QB_ROW_171250" localSheetId="0" hidden="1">Budget!$F$85</definedName>
    <definedName name="QB_ROW_171340" localSheetId="0" hidden="1">Budget!$E$86</definedName>
    <definedName name="QB_ROW_172250" localSheetId="0" hidden="1">Budget!$F$70</definedName>
    <definedName name="QB_ROW_173250" localSheetId="0" hidden="1">Budget!$F$71</definedName>
    <definedName name="QB_ROW_174250" localSheetId="0" hidden="1">Budget!$F$100</definedName>
    <definedName name="QB_ROW_175250" localSheetId="0" hidden="1">Budget!$F$72</definedName>
    <definedName name="QB_ROW_176250" localSheetId="0" hidden="1">Budget!$F$73</definedName>
    <definedName name="QB_ROW_178250" localSheetId="0" hidden="1">Budget!$F$74</definedName>
    <definedName name="QB_ROW_179250" localSheetId="0" hidden="1">Budget!$F$75</definedName>
    <definedName name="QB_ROW_181250" localSheetId="0" hidden="1">Budget!$F$76</definedName>
    <definedName name="QB_ROW_18301" localSheetId="0" hidden="1">Budget!$A$120</definedName>
    <definedName name="QB_ROW_184250" localSheetId="0" hidden="1">Budget!$F$77</definedName>
    <definedName name="QB_ROW_186250" localSheetId="0" hidden="1">Budget!$F$79</definedName>
    <definedName name="QB_ROW_19011" localSheetId="0" hidden="1">Budget!$B$2</definedName>
    <definedName name="QB_ROW_190250" localSheetId="0" hidden="1">Budget!$F$78</definedName>
    <definedName name="QB_ROW_191250" localSheetId="0" hidden="1">Budget!$F$81</definedName>
    <definedName name="QB_ROW_19311" localSheetId="0" hidden="1">Budget!$B$119</definedName>
    <definedName name="QB_ROW_193250" localSheetId="0" hidden="1">Budget!$F$80</definedName>
    <definedName name="QB_ROW_196250" localSheetId="0" hidden="1">Budget!$F$82</definedName>
    <definedName name="QB_ROW_197250" localSheetId="0" hidden="1">Budget!$F$83</definedName>
    <definedName name="QB_ROW_198250" localSheetId="0" hidden="1">Budget!$F$84</definedName>
    <definedName name="QB_ROW_199040" localSheetId="0" hidden="1">Budget!$E$87</definedName>
    <definedName name="QB_ROW_199340" localSheetId="0" hidden="1">Budget!$E$89</definedName>
    <definedName name="QB_ROW_20021" localSheetId="0" hidden="1">Budget!$C$3</definedName>
    <definedName name="QB_ROW_200250" localSheetId="0" hidden="1">Budget!$F$88</definedName>
    <definedName name="QB_ROW_201040" localSheetId="0" hidden="1">Budget!$E$90</definedName>
    <definedName name="QB_ROW_201340" localSheetId="0" hidden="1">Budget!$E$92</definedName>
    <definedName name="QB_ROW_202250" localSheetId="0" hidden="1">Budget!$F$67</definedName>
    <definedName name="QB_ROW_20321" localSheetId="0" hidden="1">Budget!$C$21</definedName>
    <definedName name="QB_ROW_204250" localSheetId="0" hidden="1">Budget!$F$91</definedName>
    <definedName name="QB_ROW_207040" localSheetId="0" hidden="1">Budget!$E$93</definedName>
    <definedName name="QB_ROW_207340" localSheetId="0" hidden="1">Budget!$E$95</definedName>
    <definedName name="QB_ROW_208250" localSheetId="0" hidden="1">Budget!$F$94</definedName>
    <definedName name="QB_ROW_21021" localSheetId="0" hidden="1">Budget!$C$22</definedName>
    <definedName name="QB_ROW_210240" localSheetId="0" hidden="1">Budget!$E$96</definedName>
    <definedName name="QB_ROW_211040" localSheetId="0" hidden="1">Budget!$E$97</definedName>
    <definedName name="QB_ROW_211340" localSheetId="0" hidden="1">Budget!$E$107</definedName>
    <definedName name="QB_ROW_21321" localSheetId="0" hidden="1">Budget!$C$118</definedName>
    <definedName name="QB_ROW_213250" localSheetId="0" hidden="1">Budget!$F$98</definedName>
    <definedName name="QB_ROW_214250" localSheetId="0" hidden="1">Budget!$F$99</definedName>
    <definedName name="QB_ROW_217250" localSheetId="0" hidden="1">Budget!$F$101</definedName>
    <definedName name="QB_ROW_218250" localSheetId="0" hidden="1">Budget!$F$102</definedName>
    <definedName name="QB_ROW_220250" localSheetId="0" hidden="1">Budget!$F$103</definedName>
    <definedName name="QB_ROW_221250" localSheetId="0" hidden="1">Budget!$F$104</definedName>
    <definedName name="QB_ROW_222250" localSheetId="0" hidden="1">Budget!$F$105</definedName>
    <definedName name="QB_ROW_223250" localSheetId="0" hidden="1">Budget!$F$106</definedName>
    <definedName name="QB_ROW_226040" localSheetId="0" hidden="1">Budget!$E$108</definedName>
    <definedName name="QB_ROW_226340" localSheetId="0" hidden="1">Budget!$E$111</definedName>
    <definedName name="QB_ROW_227250" localSheetId="0" hidden="1">Budget!$F$109</definedName>
    <definedName name="QB_ROW_228250" localSheetId="0" hidden="1">Budget!$F$110</definedName>
    <definedName name="QB_ROW_229240" localSheetId="0" hidden="1">Budget!$E$112</definedName>
    <definedName name="QB_ROW_239250" localSheetId="0" hidden="1">Budget!$F$60</definedName>
    <definedName name="QB_ROW_241040" localSheetId="0" hidden="1">Budget!$E$113</definedName>
    <definedName name="QB_ROW_241340" localSheetId="0" hidden="1">Budget!$E$116</definedName>
    <definedName name="QB_ROW_245040" localSheetId="0" hidden="1">Budget!$E$59</definedName>
    <definedName name="QB_ROW_245340" localSheetId="0" hidden="1">Budget!$E$61</definedName>
    <definedName name="QB_ROW_247250" localSheetId="0" hidden="1">Budget!$F$63</definedName>
    <definedName name="QB_ROW_249250" localSheetId="0" hidden="1">Budget!$F$64</definedName>
    <definedName name="QB_ROW_250040" localSheetId="0" hidden="1">Budget!$E$66</definedName>
    <definedName name="QB_ROW_250340" localSheetId="0" hidden="1">Budget!$E$68</definedName>
    <definedName name="QB_ROW_253240" localSheetId="0" hidden="1">Budget!$E$10</definedName>
    <definedName name="QB_ROW_291240" localSheetId="0" hidden="1">Budget!$E$19</definedName>
    <definedName name="QB_ROW_293240" localSheetId="0" hidden="1">Budget!$E$16</definedName>
    <definedName name="QB_ROW_297250" localSheetId="0" hidden="1">Budget!$F$35</definedName>
    <definedName name="QB_ROW_302250" localSheetId="0" hidden="1">Budget!$F$114</definedName>
    <definedName name="QB_ROW_304250" localSheetId="0" hidden="1">Budget!$F$115</definedName>
    <definedName name="QB_ROW_98030" localSheetId="0" hidden="1">Budget!$D$4</definedName>
    <definedName name="QB_ROW_98330" localSheetId="0" hidden="1">Budget!$D$11</definedName>
    <definedName name="QB_ROW_99240" localSheetId="0" hidden="1">Budget!$E$5</definedName>
    <definedName name="QBCANSUPPORTUPDATE" localSheetId="0">TRUE</definedName>
    <definedName name="QBCOMPANYFILENAME" localSheetId="0">"\\bh-fs\QDrive\Pivot Hillsborough (29-6656)\Pivot Hillsborough (29-6656).qbw"</definedName>
    <definedName name="QBENDDATE" localSheetId="0">20230430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"e4e5caf566be479eab3a6829c69dcac5"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R55" i="1"/>
  <c r="Q55" i="1"/>
  <c r="P55" i="1"/>
  <c r="O55" i="1"/>
  <c r="N55" i="1"/>
  <c r="M55" i="1"/>
  <c r="L55" i="1"/>
  <c r="K55" i="1"/>
  <c r="J55" i="1"/>
  <c r="I55" i="1"/>
  <c r="H55" i="1"/>
  <c r="G55" i="1"/>
  <c r="S55" i="1"/>
  <c r="T12" i="1" l="1"/>
  <c r="T75" i="1"/>
  <c r="M38" i="3"/>
  <c r="T70" i="1"/>
  <c r="T42" i="1"/>
  <c r="T41" i="1"/>
  <c r="T39" i="1"/>
  <c r="T38" i="1"/>
  <c r="T30" i="1"/>
  <c r="T29" i="1"/>
  <c r="T26" i="1"/>
  <c r="T25" i="1"/>
  <c r="C21" i="4"/>
  <c r="B21" i="4"/>
  <c r="B24" i="4" s="1"/>
  <c r="B26" i="4" s="1"/>
  <c r="B28" i="4" s="1"/>
  <c r="T5" i="1" s="1"/>
  <c r="C19" i="4"/>
  <c r="B19" i="4"/>
  <c r="C18" i="4"/>
  <c r="B18" i="4"/>
  <c r="C17" i="4"/>
  <c r="B17" i="4"/>
  <c r="C16" i="4"/>
  <c r="B16" i="4"/>
  <c r="C15" i="4"/>
  <c r="B15" i="4"/>
  <c r="C14" i="4"/>
  <c r="B14" i="4"/>
  <c r="C12" i="4"/>
  <c r="B12" i="4"/>
  <c r="C11" i="4"/>
  <c r="B11" i="4"/>
  <c r="F11" i="4" s="1"/>
  <c r="C10" i="4"/>
  <c r="B10" i="4"/>
  <c r="C9" i="4"/>
  <c r="B9" i="4"/>
  <c r="C8" i="4"/>
  <c r="B8" i="4"/>
  <c r="C7" i="4"/>
  <c r="B7" i="4"/>
  <c r="C6" i="4"/>
  <c r="B6" i="4"/>
  <c r="C5" i="4"/>
  <c r="C13" i="4" s="1"/>
  <c r="C20" i="4" s="1"/>
  <c r="C22" i="4" s="1"/>
  <c r="B5" i="4"/>
  <c r="D3" i="4"/>
  <c r="A3" i="4"/>
  <c r="E2" i="4"/>
  <c r="C2" i="4"/>
  <c r="A2" i="4"/>
  <c r="B1" i="4"/>
  <c r="A1" i="4"/>
  <c r="E21" i="4" l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2" i="4"/>
  <c r="E12" i="4" s="1"/>
  <c r="D10" i="4"/>
  <c r="E10" i="4" s="1"/>
  <c r="D9" i="4"/>
  <c r="E9" i="4" s="1"/>
  <c r="D8" i="4"/>
  <c r="E8" i="4" s="1"/>
  <c r="D7" i="4"/>
  <c r="E7" i="4" s="1"/>
  <c r="D6" i="4"/>
  <c r="E6" i="4" s="1"/>
  <c r="D5" i="4"/>
  <c r="B13" i="4"/>
  <c r="B20" i="4" s="1"/>
  <c r="B22" i="4" s="1"/>
  <c r="F6" i="4"/>
  <c r="F7" i="4"/>
  <c r="F8" i="4"/>
  <c r="F9" i="4"/>
  <c r="F10" i="4"/>
  <c r="F12" i="4"/>
  <c r="F14" i="4"/>
  <c r="F15" i="4"/>
  <c r="F16" i="4"/>
  <c r="F17" i="4"/>
  <c r="F18" i="4"/>
  <c r="F19" i="4"/>
  <c r="D13" i="4" l="1"/>
  <c r="D20" i="4" s="1"/>
  <c r="E5" i="4"/>
  <c r="E13" i="4" l="1"/>
  <c r="E20" i="4" s="1"/>
  <c r="E22" i="4" s="1"/>
  <c r="F5" i="4"/>
  <c r="F13" i="4" s="1"/>
  <c r="F20" i="4" s="1"/>
  <c r="T111" i="1" l="1"/>
  <c r="T107" i="1"/>
  <c r="T95" i="1"/>
  <c r="T91" i="1"/>
  <c r="S96" i="1"/>
  <c r="T92" i="1"/>
  <c r="T67" i="1"/>
  <c r="T65" i="1" l="1"/>
  <c r="T61" i="1"/>
  <c r="T58" i="1"/>
  <c r="T47" i="1"/>
  <c r="T44" i="1"/>
  <c r="T20" i="1"/>
  <c r="T17" i="1"/>
  <c r="Q30" i="3"/>
  <c r="P30" i="3"/>
  <c r="O30" i="3"/>
  <c r="N30" i="3"/>
  <c r="M30" i="3"/>
  <c r="Q33" i="3"/>
  <c r="P33" i="3"/>
  <c r="O33" i="3"/>
  <c r="N33" i="3"/>
  <c r="M33" i="3"/>
  <c r="R34" i="3"/>
  <c r="R30" i="3"/>
  <c r="P29" i="3"/>
  <c r="O29" i="3"/>
  <c r="P28" i="3"/>
  <c r="O28" i="3"/>
  <c r="M29" i="3"/>
  <c r="M28" i="3"/>
  <c r="Q26" i="3"/>
  <c r="P26" i="3"/>
  <c r="O26" i="3"/>
  <c r="N26" i="3"/>
  <c r="T71" i="1" s="1"/>
  <c r="M26" i="3"/>
  <c r="L26" i="3"/>
  <c r="O25" i="3"/>
  <c r="O24" i="3"/>
  <c r="P23" i="3"/>
  <c r="N21" i="3"/>
  <c r="O19" i="3"/>
  <c r="O18" i="3"/>
  <c r="O17" i="3"/>
  <c r="O16" i="3"/>
  <c r="O15" i="3"/>
  <c r="O13" i="3"/>
  <c r="O12" i="3"/>
  <c r="N11" i="3"/>
  <c r="O10" i="3"/>
  <c r="O9" i="3"/>
  <c r="O8" i="3"/>
  <c r="O7" i="3"/>
  <c r="M4" i="3"/>
  <c r="T88" i="1"/>
  <c r="T89" i="1" s="1"/>
  <c r="S115" i="1"/>
  <c r="S114" i="1"/>
  <c r="S112" i="1"/>
  <c r="S110" i="1"/>
  <c r="S109" i="1"/>
  <c r="S111" i="1" s="1"/>
  <c r="S106" i="1"/>
  <c r="S105" i="1"/>
  <c r="S104" i="1"/>
  <c r="S103" i="1"/>
  <c r="S102" i="1"/>
  <c r="S101" i="1"/>
  <c r="S100" i="1"/>
  <c r="S99" i="1"/>
  <c r="S98" i="1"/>
  <c r="S107" i="1" s="1"/>
  <c r="S94" i="1"/>
  <c r="S95" i="1" s="1"/>
  <c r="S91" i="1"/>
  <c r="S92" i="1" s="1"/>
  <c r="S88" i="1"/>
  <c r="S89" i="1" s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T73" i="1" s="1"/>
  <c r="S72" i="1"/>
  <c r="S71" i="1"/>
  <c r="S70" i="1"/>
  <c r="S86" i="1" s="1"/>
  <c r="S67" i="1"/>
  <c r="S68" i="1" s="1"/>
  <c r="S64" i="1"/>
  <c r="S63" i="1"/>
  <c r="S65" i="1" s="1"/>
  <c r="S60" i="1"/>
  <c r="S61" i="1" s="1"/>
  <c r="S57" i="1"/>
  <c r="S58" i="1" s="1"/>
  <c r="S46" i="1"/>
  <c r="S47" i="1" s="1"/>
  <c r="S43" i="1"/>
  <c r="S44" i="1" s="1"/>
  <c r="S35" i="1"/>
  <c r="S34" i="1"/>
  <c r="S33" i="1"/>
  <c r="S32" i="1"/>
  <c r="S31" i="1"/>
  <c r="S30" i="1"/>
  <c r="S29" i="1"/>
  <c r="S28" i="1"/>
  <c r="S27" i="1"/>
  <c r="T27" i="1" s="1"/>
  <c r="T36" i="1" s="1"/>
  <c r="S26" i="1"/>
  <c r="S25" i="1"/>
  <c r="S36" i="1" s="1"/>
  <c r="S19" i="1"/>
  <c r="S20" i="1" s="1"/>
  <c r="S16" i="1"/>
  <c r="S15" i="1"/>
  <c r="S14" i="1"/>
  <c r="S17" i="1" s="1"/>
  <c r="S12" i="1"/>
  <c r="S10" i="1"/>
  <c r="S9" i="1"/>
  <c r="S8" i="1"/>
  <c r="S11" i="1"/>
  <c r="S21" i="1" s="1"/>
  <c r="R116" i="1"/>
  <c r="Q116" i="1"/>
  <c r="R111" i="1"/>
  <c r="Q111" i="1"/>
  <c r="R107" i="1"/>
  <c r="Q107" i="1"/>
  <c r="R95" i="1"/>
  <c r="Q95" i="1"/>
  <c r="R92" i="1"/>
  <c r="Q92" i="1"/>
  <c r="R89" i="1"/>
  <c r="Q89" i="1"/>
  <c r="R86" i="1"/>
  <c r="Q86" i="1"/>
  <c r="R68" i="1"/>
  <c r="Q68" i="1"/>
  <c r="R65" i="1"/>
  <c r="Q65" i="1"/>
  <c r="R61" i="1"/>
  <c r="Q61" i="1"/>
  <c r="R58" i="1"/>
  <c r="Q58" i="1"/>
  <c r="R47" i="1"/>
  <c r="Q47" i="1"/>
  <c r="R44" i="1"/>
  <c r="Q44" i="1"/>
  <c r="R36" i="1"/>
  <c r="R117" i="1" s="1"/>
  <c r="R118" i="1" s="1"/>
  <c r="Q36" i="1"/>
  <c r="Q117" i="1" s="1"/>
  <c r="Q118" i="1" s="1"/>
  <c r="R20" i="1"/>
  <c r="Q20" i="1"/>
  <c r="R17" i="1"/>
  <c r="Q17" i="1"/>
  <c r="R11" i="1"/>
  <c r="R21" i="1" s="1"/>
  <c r="R119" i="1" s="1"/>
  <c r="R120" i="1" s="1"/>
  <c r="Q11" i="1"/>
  <c r="Q21" i="1" s="1"/>
  <c r="Q119" i="1" s="1"/>
  <c r="Q120" i="1" s="1"/>
  <c r="P116" i="1"/>
  <c r="O116" i="1"/>
  <c r="N116" i="1"/>
  <c r="M116" i="1"/>
  <c r="L116" i="1"/>
  <c r="K116" i="1"/>
  <c r="J116" i="1"/>
  <c r="I116" i="1"/>
  <c r="H116" i="1"/>
  <c r="G116" i="1"/>
  <c r="S116" i="1" s="1"/>
  <c r="P111" i="1"/>
  <c r="O111" i="1"/>
  <c r="N111" i="1"/>
  <c r="M111" i="1"/>
  <c r="L111" i="1"/>
  <c r="K111" i="1"/>
  <c r="J111" i="1"/>
  <c r="I111" i="1"/>
  <c r="H111" i="1"/>
  <c r="G111" i="1"/>
  <c r="P107" i="1"/>
  <c r="O107" i="1"/>
  <c r="N107" i="1"/>
  <c r="M107" i="1"/>
  <c r="L107" i="1"/>
  <c r="K107" i="1"/>
  <c r="J107" i="1"/>
  <c r="I107" i="1"/>
  <c r="H107" i="1"/>
  <c r="G107" i="1"/>
  <c r="P95" i="1"/>
  <c r="O95" i="1"/>
  <c r="N95" i="1"/>
  <c r="M95" i="1"/>
  <c r="L95" i="1"/>
  <c r="K95" i="1"/>
  <c r="J95" i="1"/>
  <c r="I95" i="1"/>
  <c r="H95" i="1"/>
  <c r="G95" i="1"/>
  <c r="P92" i="1"/>
  <c r="O92" i="1"/>
  <c r="N92" i="1"/>
  <c r="M92" i="1"/>
  <c r="L92" i="1"/>
  <c r="K92" i="1"/>
  <c r="J92" i="1"/>
  <c r="I92" i="1"/>
  <c r="H92" i="1"/>
  <c r="G92" i="1"/>
  <c r="P89" i="1"/>
  <c r="O89" i="1"/>
  <c r="N89" i="1"/>
  <c r="M89" i="1"/>
  <c r="L89" i="1"/>
  <c r="K89" i="1"/>
  <c r="J89" i="1"/>
  <c r="I89" i="1"/>
  <c r="H89" i="1"/>
  <c r="G89" i="1"/>
  <c r="P86" i="1"/>
  <c r="O86" i="1"/>
  <c r="N86" i="1"/>
  <c r="M86" i="1"/>
  <c r="L86" i="1"/>
  <c r="K86" i="1"/>
  <c r="J86" i="1"/>
  <c r="I86" i="1"/>
  <c r="H86" i="1"/>
  <c r="G86" i="1"/>
  <c r="P68" i="1"/>
  <c r="O68" i="1"/>
  <c r="N68" i="1"/>
  <c r="M68" i="1"/>
  <c r="L68" i="1"/>
  <c r="K68" i="1"/>
  <c r="J68" i="1"/>
  <c r="I68" i="1"/>
  <c r="H68" i="1"/>
  <c r="G68" i="1"/>
  <c r="P65" i="1"/>
  <c r="O65" i="1"/>
  <c r="N65" i="1"/>
  <c r="M65" i="1"/>
  <c r="L65" i="1"/>
  <c r="K65" i="1"/>
  <c r="J65" i="1"/>
  <c r="I65" i="1"/>
  <c r="H65" i="1"/>
  <c r="G65" i="1"/>
  <c r="P61" i="1"/>
  <c r="O61" i="1"/>
  <c r="N61" i="1"/>
  <c r="M61" i="1"/>
  <c r="L61" i="1"/>
  <c r="K61" i="1"/>
  <c r="J61" i="1"/>
  <c r="I61" i="1"/>
  <c r="H61" i="1"/>
  <c r="G61" i="1"/>
  <c r="P58" i="1"/>
  <c r="O58" i="1"/>
  <c r="N58" i="1"/>
  <c r="M58" i="1"/>
  <c r="L58" i="1"/>
  <c r="K58" i="1"/>
  <c r="J58" i="1"/>
  <c r="I58" i="1"/>
  <c r="H58" i="1"/>
  <c r="G58" i="1"/>
  <c r="P47" i="1"/>
  <c r="O47" i="1"/>
  <c r="N47" i="1"/>
  <c r="M47" i="1"/>
  <c r="L47" i="1"/>
  <c r="K47" i="1"/>
  <c r="J47" i="1"/>
  <c r="I47" i="1"/>
  <c r="H47" i="1"/>
  <c r="G47" i="1"/>
  <c r="P44" i="1"/>
  <c r="O44" i="1"/>
  <c r="N44" i="1"/>
  <c r="M44" i="1"/>
  <c r="L44" i="1"/>
  <c r="K44" i="1"/>
  <c r="J44" i="1"/>
  <c r="I44" i="1"/>
  <c r="H44" i="1"/>
  <c r="G44" i="1"/>
  <c r="P36" i="1"/>
  <c r="P117" i="1" s="1"/>
  <c r="P118" i="1" s="1"/>
  <c r="O36" i="1"/>
  <c r="O117" i="1" s="1"/>
  <c r="O118" i="1" s="1"/>
  <c r="N36" i="1"/>
  <c r="N117" i="1" s="1"/>
  <c r="N118" i="1" s="1"/>
  <c r="M36" i="1"/>
  <c r="M117" i="1" s="1"/>
  <c r="M118" i="1" s="1"/>
  <c r="L36" i="1"/>
  <c r="L117" i="1" s="1"/>
  <c r="L118" i="1" s="1"/>
  <c r="K36" i="1"/>
  <c r="K117" i="1" s="1"/>
  <c r="K118" i="1" s="1"/>
  <c r="J36" i="1"/>
  <c r="J117" i="1" s="1"/>
  <c r="J118" i="1" s="1"/>
  <c r="I36" i="1"/>
  <c r="I117" i="1" s="1"/>
  <c r="I118" i="1" s="1"/>
  <c r="H36" i="1"/>
  <c r="H117" i="1" s="1"/>
  <c r="H118" i="1" s="1"/>
  <c r="G36" i="1"/>
  <c r="P20" i="1"/>
  <c r="O20" i="1"/>
  <c r="N20" i="1"/>
  <c r="M20" i="1"/>
  <c r="L20" i="1"/>
  <c r="K20" i="1"/>
  <c r="J20" i="1"/>
  <c r="I20" i="1"/>
  <c r="H20" i="1"/>
  <c r="G20" i="1"/>
  <c r="P17" i="1"/>
  <c r="O17" i="1"/>
  <c r="N17" i="1"/>
  <c r="M17" i="1"/>
  <c r="L17" i="1"/>
  <c r="K17" i="1"/>
  <c r="J17" i="1"/>
  <c r="I17" i="1"/>
  <c r="H17" i="1"/>
  <c r="G17" i="1"/>
  <c r="P11" i="1"/>
  <c r="P21" i="1" s="1"/>
  <c r="P119" i="1" s="1"/>
  <c r="P120" i="1" s="1"/>
  <c r="O11" i="1"/>
  <c r="O21" i="1" s="1"/>
  <c r="O119" i="1" s="1"/>
  <c r="O120" i="1" s="1"/>
  <c r="N11" i="1"/>
  <c r="N21" i="1" s="1"/>
  <c r="N119" i="1" s="1"/>
  <c r="N120" i="1" s="1"/>
  <c r="M11" i="1"/>
  <c r="M21" i="1" s="1"/>
  <c r="M119" i="1" s="1"/>
  <c r="M120" i="1" s="1"/>
  <c r="L11" i="1"/>
  <c r="L21" i="1" s="1"/>
  <c r="L119" i="1" s="1"/>
  <c r="L120" i="1" s="1"/>
  <c r="K11" i="1"/>
  <c r="K21" i="1" s="1"/>
  <c r="K119" i="1" s="1"/>
  <c r="K120" i="1" s="1"/>
  <c r="J11" i="1"/>
  <c r="J21" i="1" s="1"/>
  <c r="J119" i="1" s="1"/>
  <c r="J120" i="1" s="1"/>
  <c r="I11" i="1"/>
  <c r="I21" i="1" s="1"/>
  <c r="I119" i="1" s="1"/>
  <c r="I120" i="1" s="1"/>
  <c r="H11" i="1"/>
  <c r="H21" i="1" s="1"/>
  <c r="H119" i="1" s="1"/>
  <c r="H120" i="1" s="1"/>
  <c r="G11" i="1"/>
  <c r="T49" i="1" l="1"/>
  <c r="Q29" i="3"/>
  <c r="T53" i="1" s="1"/>
  <c r="Q28" i="3"/>
  <c r="T50" i="1" s="1"/>
  <c r="T68" i="1"/>
  <c r="T11" i="1"/>
  <c r="T21" i="1" s="1"/>
  <c r="R26" i="3"/>
  <c r="N29" i="3"/>
  <c r="N28" i="3"/>
  <c r="S117" i="1"/>
  <c r="S118" i="1" s="1"/>
  <c r="S119" i="1" s="1"/>
  <c r="S120" i="1" s="1"/>
  <c r="G21" i="1"/>
  <c r="G117" i="1"/>
  <c r="R28" i="3" l="1"/>
  <c r="M36" i="3"/>
  <c r="T72" i="1" s="1"/>
  <c r="R29" i="3"/>
  <c r="M37" i="3"/>
  <c r="T74" i="1" s="1"/>
  <c r="T55" i="1"/>
  <c r="G118" i="1"/>
  <c r="G119" i="1"/>
  <c r="T86" i="1" l="1"/>
  <c r="T117" i="1" s="1"/>
  <c r="T118" i="1" s="1"/>
  <c r="T119" i="1" s="1"/>
  <c r="T120" i="1" s="1"/>
  <c r="G1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Kecia Sherman</author>
  </authors>
  <commentList>
    <comment ref="B11" authorId="0" shapeId="0" xr:uid="{E7EB4B0A-FFAA-4461-87E7-3C3DD9060004}">
      <text>
        <r>
          <rPr>
            <b/>
            <u/>
            <sz val="9"/>
            <color indexed="81"/>
            <rFont val="Tahoma"/>
            <family val="2"/>
          </rPr>
          <t>TSI MAINTENANCE</t>
        </r>
        <r>
          <rPr>
            <b/>
            <sz val="9"/>
            <color indexed="81"/>
            <rFont val="Tahoma"/>
            <family val="2"/>
          </rPr>
          <t xml:space="preserve"> only - 8/5
</t>
        </r>
        <r>
          <rPr>
            <b/>
            <u/>
            <sz val="9"/>
            <color indexed="81"/>
            <rFont val="Tahoma"/>
            <family val="2"/>
          </rPr>
          <t>TSI Growth</t>
        </r>
        <r>
          <rPr>
            <b/>
            <sz val="9"/>
            <color indexed="81"/>
            <rFont val="Tahoma"/>
            <family val="2"/>
          </rPr>
          <t xml:space="preserve"> start paying 10/7
</t>
        </r>
        <r>
          <rPr>
            <b/>
            <sz val="9"/>
            <color indexed="10"/>
            <rFont val="Tahoma"/>
            <family val="2"/>
          </rPr>
          <t>DO NOT ADJ with NEW FTE - USE original Amts</t>
        </r>
      </text>
    </comment>
    <comment ref="C11" authorId="0" shapeId="0" xr:uid="{527E77BC-8088-4CC8-9F7C-C3FB354EEE30}">
      <text>
        <r>
          <rPr>
            <b/>
            <sz val="9"/>
            <color indexed="81"/>
            <rFont val="Tahoma"/>
            <family val="2"/>
          </rPr>
          <t>SUM(REW BL69:BL70</t>
        </r>
      </text>
    </comment>
  </commentList>
</comments>
</file>

<file path=xl/sharedStrings.xml><?xml version="1.0" encoding="utf-8"?>
<sst xmlns="http://schemas.openxmlformats.org/spreadsheetml/2006/main" count="232" uniqueCount="219">
  <si>
    <t>Jul 22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</si>
  <si>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</si>
  <si>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</si>
  <si>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</si>
  <si>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</si>
  <si>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</si>
  <si>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</si>
  <si>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</si>
  <si>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</si>
  <si>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</si>
  <si>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TOTAL</t>
  </si>
  <si>
    <t>Ordinary Income/Expense</t>
  </si>
  <si>
    <t>Income</t>
  </si>
  <si>
    <t>110-R · General Operating</t>
  </si>
  <si>
    <t>3310000 · FEFP</t>
  </si>
  <si>
    <t>3310012 · Proration of Funds Available</t>
  </si>
  <si>
    <t>3310221 · Teacher Salary Increases</t>
  </si>
  <si>
    <t>3334579 · Teacher Lead Program</t>
  </si>
  <si>
    <t>3354000 · Transportation Fees</t>
  </si>
  <si>
    <t>3397004 · Cerification PrograMS</t>
  </si>
  <si>
    <t>Total 110-R · General Operating</t>
  </si>
  <si>
    <t>3397000 · Capital Outlay</t>
  </si>
  <si>
    <t>411-R · Internal Revenue</t>
  </si>
  <si>
    <t>2495 · Contributions</t>
  </si>
  <si>
    <t>3493001 · Fund Raiser</t>
  </si>
  <si>
    <t>3493006 · School Activities</t>
  </si>
  <si>
    <t>Total 411-R · Internal Revenue</t>
  </si>
  <si>
    <t>421-R · Federal Relief Fund</t>
  </si>
  <si>
    <t>445 · ESSER III</t>
  </si>
  <si>
    <t>Total 421-R · Federal Relief Fund</t>
  </si>
  <si>
    <t>Total Income</t>
  </si>
  <si>
    <t>Expense</t>
  </si>
  <si>
    <t>110-E · Expenditures</t>
  </si>
  <si>
    <t>5100000 · Instruction</t>
  </si>
  <si>
    <t>5100120 · Classroom Teachers</t>
  </si>
  <si>
    <t>5100220 · Social Security</t>
  </si>
  <si>
    <t>5100230 · Group Insurance</t>
  </si>
  <si>
    <t>5100240 · Workers Compensation</t>
  </si>
  <si>
    <t>5100250 · FUI/SUI</t>
  </si>
  <si>
    <t>5100260 · Medicare</t>
  </si>
  <si>
    <t>5100390 · Purchased Services</t>
  </si>
  <si>
    <t>5100510 · Classroom Supplies</t>
  </si>
  <si>
    <t>5100520 · Textbooks</t>
  </si>
  <si>
    <t>5100521 · Activities</t>
  </si>
  <si>
    <t>5100525 · Depreciation Textbooks</t>
  </si>
  <si>
    <t>Total 5100000 · Instruction</t>
  </si>
  <si>
    <t>5200000 · ESE Instruction</t>
  </si>
  <si>
    <t>5200310 · ESE Prof and Tech</t>
  </si>
  <si>
    <t>Total 5200000 · ESE Instruction</t>
  </si>
  <si>
    <t>5600000 · Classroom Costs</t>
  </si>
  <si>
    <t>5600550 · Software</t>
  </si>
  <si>
    <t>Total 5600000 · Classroom Costs</t>
  </si>
  <si>
    <t>6300310 · Professional Services</t>
  </si>
  <si>
    <t>6655000 · Consulting</t>
  </si>
  <si>
    <t>Total 6300310 · Professional Services</t>
  </si>
  <si>
    <t>6400000 · Instructional Training</t>
  </si>
  <si>
    <t>6400310 · Professional and Technical</t>
  </si>
  <si>
    <t>Total 6400000 · Instructional Training</t>
  </si>
  <si>
    <t>7100000 · Board Expenses</t>
  </si>
  <si>
    <t>7100310 · Audit &amp; Accounting</t>
  </si>
  <si>
    <t>7100510 · Board supplies</t>
  </si>
  <si>
    <t>Total 7100000 · Board Expenses</t>
  </si>
  <si>
    <t>720000 · General Administration</t>
  </si>
  <si>
    <t>7200730 · District Administrative Fee</t>
  </si>
  <si>
    <t>Total 720000 · General Administration</t>
  </si>
  <si>
    <t>7300000 · Administrative Expenses</t>
  </si>
  <si>
    <t>7300110 · Administrative</t>
  </si>
  <si>
    <t>7300160 · Other Support Personnel</t>
  </si>
  <si>
    <t>7300220 · Social Security Admin</t>
  </si>
  <si>
    <t>7300230 · Group Insurance Admin</t>
  </si>
  <si>
    <t>7300260 · Medicare</t>
  </si>
  <si>
    <t>7300270 · SUI/FUI</t>
  </si>
  <si>
    <t>7300310 · Professional and Technical</t>
  </si>
  <si>
    <t>7300314 · Conferences and Training</t>
  </si>
  <si>
    <t>7300360 · Machinery &amp; Equipment rental</t>
  </si>
  <si>
    <t>7300390 · Payroll Expenses</t>
  </si>
  <si>
    <t>7300510 · Office Supplies</t>
  </si>
  <si>
    <t>7300730 · Dues &amp; Licenses</t>
  </si>
  <si>
    <t>7300780 · Depreciation</t>
  </si>
  <si>
    <t>7300781 · Bank fees</t>
  </si>
  <si>
    <t>7500316 · Miscellaneous</t>
  </si>
  <si>
    <t>7300000 · Administrative Expenses - Other</t>
  </si>
  <si>
    <t>Total 7300000 · Administrative Expenses</t>
  </si>
  <si>
    <t>7400000 · Facility Acquistion</t>
  </si>
  <si>
    <t>7400360 · Rent</t>
  </si>
  <si>
    <t>Total 7400000 · Facility Acquistion</t>
  </si>
  <si>
    <t>7500000 · Fiscal Services</t>
  </si>
  <si>
    <t>7500315 · Management Services</t>
  </si>
  <si>
    <t>Total 7500000 · Fiscal Services</t>
  </si>
  <si>
    <t>7720000 · Information Services</t>
  </si>
  <si>
    <t>7720370 · Postage</t>
  </si>
  <si>
    <t>Total 7720000 · Information Services</t>
  </si>
  <si>
    <t>7800000 · Transportation</t>
  </si>
  <si>
    <t>7900000 · Operations of Plant</t>
  </si>
  <si>
    <t>7900220 · Social Security</t>
  </si>
  <si>
    <t>7900240 · Workers Comp</t>
  </si>
  <si>
    <t>7900320 · Insurance</t>
  </si>
  <si>
    <t>7900350 · Repairs and Maintenance</t>
  </si>
  <si>
    <t>7900351 · Security</t>
  </si>
  <si>
    <t>7900370 · Telephone and Internet</t>
  </si>
  <si>
    <t>7900390 · Purchased Services</t>
  </si>
  <si>
    <t>7900431 · Utilities</t>
  </si>
  <si>
    <t>7900432 · Waste Removal</t>
  </si>
  <si>
    <t>Total 7900000 · Operations of Plant</t>
  </si>
  <si>
    <t>8100000 · Maintenance of Plant</t>
  </si>
  <si>
    <t>8100350 · Repairs and Maintenance</t>
  </si>
  <si>
    <t>8100510 · Cleaning</t>
  </si>
  <si>
    <t>Total 8100000 · Maintenance of Plant</t>
  </si>
  <si>
    <t>8200000 · Technology Services</t>
  </si>
  <si>
    <t>9200000 · Debt Service</t>
  </si>
  <si>
    <t>9200720 · Interest</t>
  </si>
  <si>
    <t>9200780 · Capitalized Lease Amortization</t>
  </si>
  <si>
    <t>Total 9200000 · Debt Service</t>
  </si>
  <si>
    <t>Total 110-E · Expenditures</t>
  </si>
  <si>
    <t>Total Expense</t>
  </si>
  <si>
    <t>Net Ordinary Income</t>
  </si>
  <si>
    <t>Net Income</t>
  </si>
  <si>
    <t>May 23</t>
  </si>
  <si>
    <t>June 23</t>
  </si>
  <si>
    <t>2023-2024</t>
  </si>
  <si>
    <t>Total</t>
  </si>
  <si>
    <t>Pivot Charter 23-24</t>
  </si>
  <si>
    <t>Name</t>
  </si>
  <si>
    <t>Position</t>
  </si>
  <si>
    <t>Yearly</t>
  </si>
  <si>
    <t>degree bump</t>
  </si>
  <si>
    <t>Liz Rubero</t>
  </si>
  <si>
    <t>Principal</t>
  </si>
  <si>
    <t>kirk Scott</t>
  </si>
  <si>
    <t>Algebra</t>
  </si>
  <si>
    <t>Andrew Dennis</t>
  </si>
  <si>
    <t>HS History</t>
  </si>
  <si>
    <t>Gary Stein</t>
  </si>
  <si>
    <t>Technology/Math</t>
  </si>
  <si>
    <t>Adriana Oveido</t>
  </si>
  <si>
    <t>MS Math</t>
  </si>
  <si>
    <t>until she gets her certification then bump to 47500.</t>
  </si>
  <si>
    <t>Andrea Preziosi</t>
  </si>
  <si>
    <t>Data Processor</t>
  </si>
  <si>
    <t>Vickie Trice</t>
  </si>
  <si>
    <t>Reading</t>
  </si>
  <si>
    <t>Jesse Laing</t>
  </si>
  <si>
    <t>MS History</t>
  </si>
  <si>
    <t>?</t>
  </si>
  <si>
    <t>Assistant Principal</t>
  </si>
  <si>
    <t>do not have one hired yet</t>
  </si>
  <si>
    <t>Debbie Williams</t>
  </si>
  <si>
    <t>Art/PE</t>
  </si>
  <si>
    <t>Theresa Foecking</t>
  </si>
  <si>
    <t>MS Science</t>
  </si>
  <si>
    <t>Christopher Felton</t>
  </si>
  <si>
    <t>HS Science</t>
  </si>
  <si>
    <t>Ryan Ellis</t>
  </si>
  <si>
    <t>HS English</t>
  </si>
  <si>
    <t>HS Math</t>
  </si>
  <si>
    <t>not hire yet</t>
  </si>
  <si>
    <t>guidance counselor</t>
  </si>
  <si>
    <t>not hired yet</t>
  </si>
  <si>
    <t xml:space="preserve"> </t>
  </si>
  <si>
    <t>Daryl Flintroy</t>
  </si>
  <si>
    <t>admin asst</t>
  </si>
  <si>
    <t>Stephanie Orta</t>
  </si>
  <si>
    <t>Para Prof</t>
  </si>
  <si>
    <t>Abigail Wilson</t>
  </si>
  <si>
    <t>ESE Specialist</t>
  </si>
  <si>
    <t>Aurthur Mckay</t>
  </si>
  <si>
    <t>MS Lang Arts</t>
  </si>
  <si>
    <t>Indira Zambrano</t>
  </si>
  <si>
    <t>Spanish</t>
  </si>
  <si>
    <t>We also pay the securtiy officer but the rate of pay is determined by them</t>
  </si>
  <si>
    <t>SS</t>
  </si>
  <si>
    <t>Medicare</t>
  </si>
  <si>
    <t>UI</t>
  </si>
  <si>
    <t>Count</t>
  </si>
  <si>
    <t xml:space="preserve">UI </t>
  </si>
  <si>
    <t>Projections:</t>
  </si>
  <si>
    <t>Revised Projections:</t>
  </si>
  <si>
    <t>UFTE</t>
  </si>
  <si>
    <t>WFTE</t>
  </si>
  <si>
    <t>Estimated Annual
FEFP Funds</t>
  </si>
  <si>
    <t>75% ESE
Adjustment</t>
  </si>
  <si>
    <t>Adjusted for
Students
Over 250</t>
  </si>
  <si>
    <t>District Administrative Fee</t>
  </si>
  <si>
    <t>Annual FEFP
Payment Due</t>
  </si>
  <si>
    <t>FEFP Base</t>
  </si>
  <si>
    <t>Add FTE</t>
  </si>
  <si>
    <t>ESE Guarantee</t>
  </si>
  <si>
    <t>Disc Mill Comp</t>
  </si>
  <si>
    <t>Total Funds Comp</t>
  </si>
  <si>
    <t>Disc Local Effort</t>
  </si>
  <si>
    <t>Teacher Salary Increase</t>
  </si>
  <si>
    <t>Proration</t>
  </si>
  <si>
    <t>Total FEFP</t>
  </si>
  <si>
    <t>SAI</t>
  </si>
  <si>
    <t>Safe Schools</t>
  </si>
  <si>
    <t>Inst Mat</t>
  </si>
  <si>
    <t>Mental Health</t>
  </si>
  <si>
    <t>CSR</t>
  </si>
  <si>
    <t>TOTALS</t>
  </si>
  <si>
    <t>Verification</t>
  </si>
  <si>
    <t>Diff</t>
  </si>
  <si>
    <t>Per Student</t>
  </si>
  <si>
    <t>2023-24 increase</t>
  </si>
  <si>
    <t>2023-2024 per student</t>
  </si>
  <si>
    <t>FTE 2022-2023</t>
  </si>
  <si>
    <t>FTE 2023-2024</t>
  </si>
  <si>
    <t>2023-2024 Funding</t>
  </si>
  <si>
    <t>5200120-Classroom Teacher</t>
  </si>
  <si>
    <t>5200220-Social Security</t>
  </si>
  <si>
    <t>5200230 · Group Insurance</t>
  </si>
  <si>
    <t>5200250 · FUI/SUI</t>
  </si>
  <si>
    <t>5200260 · Medicare</t>
  </si>
  <si>
    <t>610000-Student Support Services</t>
  </si>
  <si>
    <t>6100160-Guidance Salary</t>
  </si>
  <si>
    <t>6100220-Social Security</t>
  </si>
  <si>
    <t>6100230 · Group Insurance</t>
  </si>
  <si>
    <t>6100250 · FUI/SUI</t>
  </si>
  <si>
    <t>6100260 · Medicare</t>
  </si>
  <si>
    <t>Asst Principal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</si>
</sst>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.00;\-#,##0.00"/>
    <numFmt numFmtId="165" formatCode="0.0000"/>
    <numFmt numFmtId="166" formatCode="0.0000000000"/>
  </numFmts>
  <fonts count="2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wrapText="1"/>
    </xf>
    <xf numFmtId="41" fontId="0" fillId="0" borderId="0" xfId="0" applyNumberFormat="1"/>
    <xf numFmtId="37" fontId="0" fillId="0" borderId="0" xfId="0" applyNumberFormat="1"/>
    <xf numFmtId="0" fontId="6" fillId="3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9" fillId="3" borderId="0" xfId="0" applyNumberFormat="1" applyFont="1" applyFill="1" applyAlignment="1">
      <alignment horizontal="right" vertical="center"/>
    </xf>
    <xf numFmtId="1" fontId="7" fillId="3" borderId="0" xfId="0" applyNumberFormat="1" applyFont="1" applyFill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1" fontId="10" fillId="3" borderId="8" xfId="0" applyNumberFormat="1" applyFont="1" applyFill="1" applyBorder="1" applyAlignment="1">
      <alignment horizontal="left" vertical="center"/>
    </xf>
    <xf numFmtId="0" fontId="11" fillId="3" borderId="9" xfId="0" applyFont="1" applyFill="1" applyBorder="1" applyAlignment="1">
      <alignment vertical="center"/>
    </xf>
    <xf numFmtId="2" fontId="12" fillId="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2" fillId="0" borderId="11" xfId="0" applyFont="1" applyBorder="1"/>
    <xf numFmtId="165" fontId="12" fillId="3" borderId="12" xfId="0" applyNumberFormat="1" applyFont="1" applyFill="1" applyBorder="1" applyAlignment="1">
      <alignment horizontal="center" vertical="center"/>
    </xf>
    <xf numFmtId="166" fontId="12" fillId="3" borderId="12" xfId="0" quotePrefix="1" applyNumberFormat="1" applyFont="1" applyFill="1" applyBorder="1" applyAlignment="1">
      <alignment horizontal="center" vertical="center" shrinkToFit="1"/>
    </xf>
    <xf numFmtId="9" fontId="12" fillId="4" borderId="0" xfId="0" applyNumberFormat="1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6" xfId="0" quotePrefix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3" fontId="12" fillId="0" borderId="19" xfId="1" applyFont="1" applyBorder="1" applyAlignment="1">
      <alignment horizontal="center" vertical="center"/>
    </xf>
    <xf numFmtId="43" fontId="12" fillId="0" borderId="15" xfId="1" applyFont="1" applyBorder="1" applyAlignment="1">
      <alignment horizontal="center" vertical="center"/>
    </xf>
    <xf numFmtId="43" fontId="12" fillId="0" borderId="9" xfId="1" applyFont="1" applyBorder="1" applyAlignment="1">
      <alignment horizontal="center" vertical="center"/>
    </xf>
    <xf numFmtId="43" fontId="12" fillId="4" borderId="19" xfId="1" applyFont="1" applyFill="1" applyBorder="1" applyAlignment="1">
      <alignment horizontal="center" vertical="center"/>
    </xf>
    <xf numFmtId="43" fontId="12" fillId="4" borderId="15" xfId="1" applyFont="1" applyFill="1" applyBorder="1" applyAlignment="1">
      <alignment horizontal="center" vertical="center"/>
    </xf>
    <xf numFmtId="43" fontId="12" fillId="0" borderId="9" xfId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3" fontId="12" fillId="0" borderId="11" xfId="1" applyFont="1" applyBorder="1" applyAlignment="1">
      <alignment vertical="center"/>
    </xf>
    <xf numFmtId="43" fontId="12" fillId="0" borderId="21" xfId="1" applyFont="1" applyBorder="1" applyAlignment="1">
      <alignment vertical="center"/>
    </xf>
    <xf numFmtId="43" fontId="12" fillId="0" borderId="7" xfId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3" fontId="14" fillId="0" borderId="23" xfId="1" applyFont="1" applyBorder="1" applyAlignment="1">
      <alignment horizontal="center" vertical="center"/>
    </xf>
    <xf numFmtId="43" fontId="12" fillId="0" borderId="11" xfId="1" applyFont="1" applyBorder="1" applyAlignment="1">
      <alignment horizontal="center" vertical="center"/>
    </xf>
    <xf numFmtId="43" fontId="12" fillId="0" borderId="21" xfId="1" applyFont="1" applyBorder="1" applyAlignment="1">
      <alignment horizontal="center" vertical="center"/>
    </xf>
    <xf numFmtId="43" fontId="12" fillId="0" borderId="7" xfId="1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43" fontId="14" fillId="0" borderId="25" xfId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0" fontId="10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right" vertical="center"/>
    </xf>
    <xf numFmtId="40" fontId="10" fillId="5" borderId="0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43" fontId="12" fillId="0" borderId="0" xfId="0" applyNumberFormat="1" applyFont="1" applyAlignment="1">
      <alignment vertical="center"/>
    </xf>
    <xf numFmtId="43" fontId="0" fillId="0" borderId="0" xfId="0" applyNumberFormat="1"/>
    <xf numFmtId="43" fontId="0" fillId="0" borderId="4" xfId="0" applyNumberFormat="1" applyBorder="1"/>
    <xf numFmtId="43" fontId="0" fillId="2" borderId="3" xfId="0" applyNumberFormat="1" applyFill="1" applyBorder="1"/>
    <xf numFmtId="41" fontId="0" fillId="2" borderId="0" xfId="0" applyNumberFormat="1" applyFill="1"/>
    <xf numFmtId="0" fontId="0" fillId="2" borderId="0" xfId="0" applyFill="1" applyAlignment="1">
      <alignment horizontal="center"/>
    </xf>
    <xf numFmtId="41" fontId="0" fillId="3" borderId="0" xfId="0" applyNumberFormat="1" applyFill="1"/>
    <xf numFmtId="164" fontId="2" fillId="3" borderId="4" xfId="0" applyNumberFormat="1" applyFont="1" applyFill="1" applyBorder="1"/>
    <xf numFmtId="164" fontId="2" fillId="3" borderId="0" xfId="0" applyNumberFormat="1" applyFont="1" applyFill="1"/>
    <xf numFmtId="164" fontId="2" fillId="3" borderId="3" xfId="0" applyNumberFormat="1" applyFont="1" applyFill="1" applyBorder="1"/>
    <xf numFmtId="41" fontId="2" fillId="3" borderId="4" xfId="0" applyNumberFormat="1" applyFont="1" applyFill="1" applyBorder="1"/>
    <xf numFmtId="164" fontId="1" fillId="3" borderId="5" xfId="0" applyNumberFormat="1" applyFont="1" applyFill="1" applyBorder="1"/>
    <xf numFmtId="0" fontId="0" fillId="3" borderId="0" xfId="0" applyFill="1"/>
    <xf numFmtId="49" fontId="1" fillId="3" borderId="0" xfId="0" applyNumberFormat="1" applyFont="1" applyFill="1"/>
    <xf numFmtId="164" fontId="2" fillId="3" borderId="0" xfId="0" applyNumberFormat="1" applyFont="1" applyFill="1" applyBorder="1"/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Pivot%20(Multiple)/FTE%20reports/2022-2023/05-19-23%206656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 Log"/>
      <sheetName val="Recalc"/>
      <sheetName val="REW"/>
    </sheetNames>
    <sheetDataSet>
      <sheetData sheetId="0">
        <row r="2">
          <cell r="B2">
            <v>6656</v>
          </cell>
          <cell r="C2" t="str">
            <v>Pivot Charter School</v>
          </cell>
          <cell r="I2">
            <v>190722</v>
          </cell>
        </row>
        <row r="3">
          <cell r="C3" t="str">
            <v>6-12</v>
          </cell>
        </row>
        <row r="7">
          <cell r="E7">
            <v>228</v>
          </cell>
          <cell r="I7">
            <v>0</v>
          </cell>
        </row>
      </sheetData>
      <sheetData sheetId="1"/>
      <sheetData sheetId="2">
        <row r="27">
          <cell r="C27">
            <v>237.61</v>
          </cell>
          <cell r="H27">
            <v>1104127</v>
          </cell>
          <cell r="BL27">
            <v>0</v>
          </cell>
        </row>
        <row r="37">
          <cell r="H37">
            <v>1479</v>
          </cell>
        </row>
        <row r="38">
          <cell r="BL38">
            <v>0</v>
          </cell>
        </row>
        <row r="49">
          <cell r="H49">
            <v>62633</v>
          </cell>
        </row>
        <row r="50">
          <cell r="BL50">
            <v>0</v>
          </cell>
        </row>
        <row r="56">
          <cell r="H56">
            <v>53159</v>
          </cell>
        </row>
        <row r="57">
          <cell r="BL57">
            <v>0</v>
          </cell>
        </row>
        <row r="58">
          <cell r="H58">
            <v>52654</v>
          </cell>
          <cell r="BL58">
            <v>0</v>
          </cell>
        </row>
        <row r="59">
          <cell r="H59">
            <v>13483</v>
          </cell>
          <cell r="BL59">
            <v>0</v>
          </cell>
        </row>
        <row r="60">
          <cell r="H60">
            <v>18287</v>
          </cell>
          <cell r="BL60">
            <v>0</v>
          </cell>
        </row>
        <row r="63">
          <cell r="BL63">
            <v>0</v>
          </cell>
        </row>
        <row r="64">
          <cell r="H64">
            <v>10684</v>
          </cell>
          <cell r="BL64">
            <v>0</v>
          </cell>
        </row>
        <row r="65">
          <cell r="H65">
            <v>6198</v>
          </cell>
        </row>
        <row r="66">
          <cell r="BL66">
            <v>0</v>
          </cell>
        </row>
        <row r="67">
          <cell r="H67">
            <v>11983</v>
          </cell>
          <cell r="BL67">
            <v>0</v>
          </cell>
        </row>
        <row r="68">
          <cell r="H68">
            <v>108246</v>
          </cell>
          <cell r="BL68">
            <v>0</v>
          </cell>
        </row>
        <row r="69">
          <cell r="BL69"/>
        </row>
        <row r="72">
          <cell r="H72">
            <v>56704</v>
          </cell>
        </row>
        <row r="73">
          <cell r="H73">
            <v>0</v>
          </cell>
        </row>
        <row r="76">
          <cell r="BL76"/>
        </row>
        <row r="79">
          <cell r="H79">
            <v>220443</v>
          </cell>
        </row>
        <row r="92">
          <cell r="H92">
            <v>1720080</v>
          </cell>
        </row>
        <row r="94">
          <cell r="I94">
            <v>83168.800000000003</v>
          </cell>
        </row>
        <row r="96">
          <cell r="H96">
            <v>0</v>
          </cell>
          <cell r="I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98F7-B2BF-40F6-8674-0F4042F33265}">
  <sheetPr codeName="Sheet1"/>
  <dimension ref="A1:U122"/>
  <sheetViews>
    <sheetView tabSelected="1" workbookViewId="0">
      <pane xSplit="6" ySplit="1" topLeftCell="G41" activePane="bottomRight" state="frozenSplit"/>
      <selection pane="topRight" activeCell="G1" sqref="G1"/>
      <selection pane="bottomLeft" activeCell="A2" sqref="A2"/>
      <selection pane="bottomRight" activeCell="W115" sqref="W115"/>
    </sheetView>
  </sheetViews>
  <sheetFormatPr defaultRowHeight="15" x14ac:dyDescent="0.25"/>
  <cols>
    <col min="1" max="5" width="3" style="12" customWidth="1"/>
    <col min="6" max="6" width="34.85546875" style="12" customWidth="1"/>
    <col min="7" max="18" width="8.7109375" style="13" hidden="1" customWidth="1"/>
    <col min="19" max="19" width="10" style="13" hidden="1" customWidth="1"/>
    <col min="20" max="20" width="10.5703125" bestFit="1" customWidth="1"/>
  </cols>
  <sheetData>
    <row r="1" spans="1:21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117</v>
      </c>
      <c r="R1" s="10" t="s">
        <v>118</v>
      </c>
      <c r="S1" s="10" t="s">
        <v>10</v>
      </c>
      <c r="T1" s="76" t="s">
        <v>119</v>
      </c>
    </row>
    <row r="2" spans="1:21" ht="15.75" thickTop="1" x14ac:dyDescent="0.25">
      <c r="A2" s="1"/>
      <c r="B2" s="1" t="s">
        <v>11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9"/>
    </row>
    <row r="3" spans="1:21" x14ac:dyDescent="0.25">
      <c r="A3" s="1"/>
      <c r="B3" s="1"/>
      <c r="C3" s="1" t="s">
        <v>12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21" x14ac:dyDescent="0.25">
      <c r="A4" s="1"/>
      <c r="B4" s="1"/>
      <c r="C4" s="1"/>
      <c r="D4" s="1" t="s">
        <v>13</v>
      </c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1" x14ac:dyDescent="0.25">
      <c r="A5" s="1"/>
      <c r="B5" s="1"/>
      <c r="C5" s="1"/>
      <c r="D5" s="1"/>
      <c r="E5" s="1" t="s">
        <v>14</v>
      </c>
      <c r="F5" s="1"/>
      <c r="G5" s="2">
        <v>130289.4</v>
      </c>
      <c r="H5" s="2">
        <v>131643.70000000001</v>
      </c>
      <c r="I5" s="2">
        <v>131497.51</v>
      </c>
      <c r="J5" s="2">
        <v>131873.72</v>
      </c>
      <c r="K5" s="2">
        <v>131963.74</v>
      </c>
      <c r="L5" s="2">
        <v>131767.72</v>
      </c>
      <c r="M5" s="2">
        <v>142374.85999999999</v>
      </c>
      <c r="N5" s="2">
        <v>152905.45000000001</v>
      </c>
      <c r="O5" s="2">
        <v>152905.45000000001</v>
      </c>
      <c r="P5" s="2">
        <v>152905.44</v>
      </c>
      <c r="Q5" s="2">
        <v>152905.44</v>
      </c>
      <c r="R5" s="2">
        <v>152905.44</v>
      </c>
      <c r="S5" s="2">
        <f>ROUND(SUM(G5:R5),5)+56698.86-2347</f>
        <v>1750289.7300000002</v>
      </c>
      <c r="T5" s="77">
        <f>funding!B28</f>
        <v>1745477.0662850889</v>
      </c>
    </row>
    <row r="6" spans="1:21" x14ac:dyDescent="0.25">
      <c r="A6" s="1"/>
      <c r="B6" s="1"/>
      <c r="C6" s="1"/>
      <c r="D6" s="1"/>
      <c r="E6" s="1" t="s">
        <v>15</v>
      </c>
      <c r="F6" s="1"/>
      <c r="G6" s="2">
        <v>0</v>
      </c>
      <c r="H6" s="2">
        <v>-105.97</v>
      </c>
      <c r="I6" s="2">
        <v>0</v>
      </c>
      <c r="J6" s="2">
        <v>-317.91000000000003</v>
      </c>
      <c r="K6" s="2">
        <v>-317.91000000000003</v>
      </c>
      <c r="L6" s="2">
        <v>-211.94</v>
      </c>
      <c r="M6" s="2">
        <v>-223.06</v>
      </c>
      <c r="N6" s="2">
        <v>-234.18</v>
      </c>
      <c r="O6" s="2">
        <v>-234.18</v>
      </c>
      <c r="P6" s="2">
        <v>-234.18</v>
      </c>
      <c r="Q6" s="2">
        <v>-234.18</v>
      </c>
      <c r="R6" s="2">
        <v>-234.18</v>
      </c>
      <c r="S6" s="2" t="s">
        <v>158</v>
      </c>
      <c r="T6" s="77">
        <v>0</v>
      </c>
    </row>
    <row r="7" spans="1:21" x14ac:dyDescent="0.25">
      <c r="A7" s="1"/>
      <c r="B7" s="1"/>
      <c r="C7" s="1"/>
      <c r="D7" s="1"/>
      <c r="E7" s="1" t="s">
        <v>16</v>
      </c>
      <c r="F7" s="1"/>
      <c r="G7" s="2">
        <v>0</v>
      </c>
      <c r="H7" s="2">
        <v>3544</v>
      </c>
      <c r="I7" s="2">
        <v>3544</v>
      </c>
      <c r="J7" s="2">
        <v>5512.88</v>
      </c>
      <c r="K7" s="2">
        <v>5512.88</v>
      </c>
      <c r="L7" s="2">
        <v>5512.88</v>
      </c>
      <c r="M7" s="2">
        <v>5512.42</v>
      </c>
      <c r="N7" s="2">
        <v>5511.96</v>
      </c>
      <c r="O7" s="2">
        <v>5511.96</v>
      </c>
      <c r="P7" s="2">
        <v>5511.96</v>
      </c>
      <c r="Q7" s="2">
        <v>5511.96</v>
      </c>
      <c r="R7" s="2">
        <v>5511.96</v>
      </c>
      <c r="S7" s="2" t="s">
        <v>158</v>
      </c>
      <c r="T7" s="77">
        <v>0</v>
      </c>
    </row>
    <row r="8" spans="1:21" x14ac:dyDescent="0.25">
      <c r="A8" s="1"/>
      <c r="B8" s="1"/>
      <c r="C8" s="1"/>
      <c r="D8" s="1"/>
      <c r="E8" s="1" t="s">
        <v>17</v>
      </c>
      <c r="F8" s="1"/>
      <c r="G8" s="2">
        <v>0</v>
      </c>
      <c r="H8" s="2">
        <v>0</v>
      </c>
      <c r="I8" s="2">
        <v>0</v>
      </c>
      <c r="J8" s="2">
        <v>2628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f t="shared" ref="S8:S10" si="0">ROUND(SUM(G8:R8),5)</f>
        <v>2628</v>
      </c>
      <c r="T8" s="77">
        <v>3000</v>
      </c>
      <c r="U8" s="2"/>
    </row>
    <row r="9" spans="1:21" x14ac:dyDescent="0.25">
      <c r="A9" s="1"/>
      <c r="B9" s="1"/>
      <c r="C9" s="1"/>
      <c r="D9" s="1"/>
      <c r="E9" s="1" t="s">
        <v>18</v>
      </c>
      <c r="F9" s="1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28065.38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f t="shared" si="0"/>
        <v>28065.38</v>
      </c>
      <c r="T9" s="77">
        <v>50000</v>
      </c>
      <c r="U9" s="2" t="s">
        <v>158</v>
      </c>
    </row>
    <row r="10" spans="1:21" ht="15.75" thickBot="1" x14ac:dyDescent="0.3">
      <c r="A10" s="1"/>
      <c r="B10" s="1"/>
      <c r="C10" s="1"/>
      <c r="D10" s="1"/>
      <c r="E10" s="1" t="s">
        <v>19</v>
      </c>
      <c r="F10" s="1"/>
      <c r="G10" s="3">
        <v>0</v>
      </c>
      <c r="H10" s="3">
        <v>0</v>
      </c>
      <c r="I10" s="3">
        <v>0</v>
      </c>
      <c r="J10" s="3">
        <v>7483.97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2">
        <f t="shared" si="0"/>
        <v>7483.97</v>
      </c>
      <c r="T10" s="77">
        <v>7500</v>
      </c>
      <c r="U10" s="2" t="s">
        <v>158</v>
      </c>
    </row>
    <row r="11" spans="1:21" x14ac:dyDescent="0.25">
      <c r="A11" s="1"/>
      <c r="B11" s="1"/>
      <c r="C11" s="1"/>
      <c r="D11" s="1" t="s">
        <v>20</v>
      </c>
      <c r="E11" s="1"/>
      <c r="F11" s="1"/>
      <c r="G11" s="2">
        <f t="shared" ref="G11:P11" si="1">ROUND(SUM(G4:G10),5)</f>
        <v>130289.4</v>
      </c>
      <c r="H11" s="2">
        <f t="shared" si="1"/>
        <v>135081.73000000001</v>
      </c>
      <c r="I11" s="2">
        <f t="shared" si="1"/>
        <v>135041.51</v>
      </c>
      <c r="J11" s="2">
        <f t="shared" si="1"/>
        <v>147180.66</v>
      </c>
      <c r="K11" s="2">
        <f t="shared" si="1"/>
        <v>137158.71</v>
      </c>
      <c r="L11" s="2">
        <f t="shared" si="1"/>
        <v>137068.66</v>
      </c>
      <c r="M11" s="2">
        <f t="shared" si="1"/>
        <v>175729.6</v>
      </c>
      <c r="N11" s="2">
        <f t="shared" si="1"/>
        <v>158183.23000000001</v>
      </c>
      <c r="O11" s="2">
        <f t="shared" si="1"/>
        <v>158183.23000000001</v>
      </c>
      <c r="P11" s="2">
        <f t="shared" si="1"/>
        <v>158183.22</v>
      </c>
      <c r="Q11" s="2">
        <f t="shared" ref="Q11:T11" si="2">ROUND(SUM(Q4:Q10),5)</f>
        <v>158183.22</v>
      </c>
      <c r="R11" s="2">
        <f t="shared" si="2"/>
        <v>158183.22</v>
      </c>
      <c r="S11" s="2">
        <f t="shared" si="2"/>
        <v>1788467.08</v>
      </c>
      <c r="T11" s="78">
        <f t="shared" si="2"/>
        <v>1805977.06629</v>
      </c>
    </row>
    <row r="12" spans="1:21" x14ac:dyDescent="0.25">
      <c r="A12" s="1"/>
      <c r="B12" s="1"/>
      <c r="C12" s="1"/>
      <c r="D12" s="1" t="s">
        <v>21</v>
      </c>
      <c r="E12" s="1"/>
      <c r="F12" s="1"/>
      <c r="G12" s="2">
        <v>10473</v>
      </c>
      <c r="H12" s="2">
        <v>10473</v>
      </c>
      <c r="I12" s="2">
        <v>10508</v>
      </c>
      <c r="J12" s="2">
        <v>10527</v>
      </c>
      <c r="K12" s="2">
        <v>10615</v>
      </c>
      <c r="L12" s="2">
        <v>10575</v>
      </c>
      <c r="M12" s="2">
        <v>10966</v>
      </c>
      <c r="N12" s="2">
        <v>10938</v>
      </c>
      <c r="O12" s="2">
        <v>11059</v>
      </c>
      <c r="P12" s="2">
        <v>11052</v>
      </c>
      <c r="Q12" s="2">
        <v>11052</v>
      </c>
      <c r="R12" s="2">
        <v>11052</v>
      </c>
      <c r="S12" s="2">
        <f>ROUND(SUM(G12:R12),5)</f>
        <v>129290</v>
      </c>
      <c r="T12" s="77">
        <f>230*631</f>
        <v>145130</v>
      </c>
    </row>
    <row r="13" spans="1:21" x14ac:dyDescent="0.25">
      <c r="A13" s="1"/>
      <c r="B13" s="1"/>
      <c r="C13" s="1"/>
      <c r="D13" s="1" t="s">
        <v>22</v>
      </c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7"/>
    </row>
    <row r="14" spans="1:21" x14ac:dyDescent="0.25">
      <c r="A14" s="1"/>
      <c r="B14" s="1"/>
      <c r="C14" s="1"/>
      <c r="D14" s="1"/>
      <c r="E14" s="1" t="s">
        <v>23</v>
      </c>
      <c r="F14" s="1"/>
      <c r="G14" s="2">
        <v>0</v>
      </c>
      <c r="H14" s="2">
        <v>0</v>
      </c>
      <c r="I14" s="2">
        <v>0</v>
      </c>
      <c r="J14" s="2">
        <v>0</v>
      </c>
      <c r="K14" s="2">
        <v>20.71</v>
      </c>
      <c r="L14" s="2">
        <v>0</v>
      </c>
      <c r="M14" s="2">
        <v>0</v>
      </c>
      <c r="N14" s="2">
        <v>23.59</v>
      </c>
      <c r="O14" s="2">
        <v>0</v>
      </c>
      <c r="P14" s="2">
        <v>0</v>
      </c>
      <c r="Q14" s="2">
        <v>0</v>
      </c>
      <c r="R14" s="2">
        <v>0</v>
      </c>
      <c r="S14" s="2">
        <f t="shared" ref="S14:S16" si="3">ROUND(SUM(G14:R14),5)</f>
        <v>44.3</v>
      </c>
      <c r="T14" s="77">
        <v>100</v>
      </c>
    </row>
    <row r="15" spans="1:21" x14ac:dyDescent="0.25">
      <c r="A15" s="1"/>
      <c r="B15" s="1"/>
      <c r="C15" s="1"/>
      <c r="D15" s="1"/>
      <c r="E15" s="1" t="s">
        <v>24</v>
      </c>
      <c r="F15" s="1"/>
      <c r="G15" s="2">
        <v>436.5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f t="shared" si="3"/>
        <v>436.5</v>
      </c>
      <c r="T15" s="77">
        <v>500</v>
      </c>
    </row>
    <row r="16" spans="1:21" ht="15.75" thickBot="1" x14ac:dyDescent="0.3">
      <c r="A16" s="1"/>
      <c r="B16" s="1"/>
      <c r="C16" s="1"/>
      <c r="D16" s="1"/>
      <c r="E16" s="1" t="s">
        <v>25</v>
      </c>
      <c r="F16" s="1"/>
      <c r="G16" s="3">
        <v>0</v>
      </c>
      <c r="H16" s="3">
        <v>53.99</v>
      </c>
      <c r="I16" s="3">
        <v>78.989999999999995</v>
      </c>
      <c r="J16" s="3">
        <v>86.22</v>
      </c>
      <c r="K16" s="3">
        <v>1076.67</v>
      </c>
      <c r="L16" s="3">
        <v>0</v>
      </c>
      <c r="M16" s="3">
        <v>496.54</v>
      </c>
      <c r="N16" s="3">
        <v>270.22000000000003</v>
      </c>
      <c r="O16" s="3">
        <v>6199.09</v>
      </c>
      <c r="P16" s="3">
        <v>5203.29</v>
      </c>
      <c r="Q16" s="3">
        <v>300</v>
      </c>
      <c r="R16" s="3">
        <v>0</v>
      </c>
      <c r="S16" s="2">
        <f t="shared" si="3"/>
        <v>13765.01</v>
      </c>
      <c r="T16" s="77">
        <v>15000</v>
      </c>
    </row>
    <row r="17" spans="1:21" x14ac:dyDescent="0.25">
      <c r="A17" s="1"/>
      <c r="B17" s="1"/>
      <c r="C17" s="1"/>
      <c r="D17" s="1" t="s">
        <v>26</v>
      </c>
      <c r="E17" s="1"/>
      <c r="F17" s="1"/>
      <c r="G17" s="2">
        <f t="shared" ref="G17:P17" si="4">ROUND(SUM(G13:G16),5)</f>
        <v>436.5</v>
      </c>
      <c r="H17" s="2">
        <f t="shared" si="4"/>
        <v>53.99</v>
      </c>
      <c r="I17" s="2">
        <f t="shared" si="4"/>
        <v>78.989999999999995</v>
      </c>
      <c r="J17" s="2">
        <f t="shared" si="4"/>
        <v>86.22</v>
      </c>
      <c r="K17" s="2">
        <f t="shared" si="4"/>
        <v>1097.3800000000001</v>
      </c>
      <c r="L17" s="2">
        <f t="shared" si="4"/>
        <v>0</v>
      </c>
      <c r="M17" s="2">
        <f t="shared" si="4"/>
        <v>496.54</v>
      </c>
      <c r="N17" s="2">
        <f t="shared" si="4"/>
        <v>293.81</v>
      </c>
      <c r="O17" s="2">
        <f t="shared" si="4"/>
        <v>6199.09</v>
      </c>
      <c r="P17" s="2">
        <f t="shared" si="4"/>
        <v>5203.29</v>
      </c>
      <c r="Q17" s="2">
        <f t="shared" ref="Q17:T17" si="5">ROUND(SUM(Q13:Q16),5)</f>
        <v>300</v>
      </c>
      <c r="R17" s="2">
        <f t="shared" si="5"/>
        <v>0</v>
      </c>
      <c r="S17" s="2">
        <f t="shared" si="5"/>
        <v>14245.81</v>
      </c>
      <c r="T17" s="79">
        <f t="shared" si="5"/>
        <v>15600</v>
      </c>
    </row>
    <row r="18" spans="1:21" x14ac:dyDescent="0.25">
      <c r="A18" s="1"/>
      <c r="B18" s="1"/>
      <c r="C18" s="1"/>
      <c r="D18" s="1" t="s">
        <v>27</v>
      </c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7"/>
    </row>
    <row r="19" spans="1:21" ht="15.75" thickBot="1" x14ac:dyDescent="0.3">
      <c r="A19" s="1"/>
      <c r="B19" s="1"/>
      <c r="C19" s="1"/>
      <c r="D19" s="84"/>
      <c r="E19" s="84" t="s">
        <v>28</v>
      </c>
      <c r="F19" s="84"/>
      <c r="G19" s="85">
        <v>0</v>
      </c>
      <c r="H19" s="85">
        <v>0</v>
      </c>
      <c r="I19" s="85">
        <v>107334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102721.64</v>
      </c>
      <c r="P19" s="85">
        <v>0</v>
      </c>
      <c r="Q19" s="85">
        <v>0</v>
      </c>
      <c r="R19" s="85">
        <v>0</v>
      </c>
      <c r="S19" s="79">
        <f>ROUND(SUM(G19:R19),5)</f>
        <v>210055.64</v>
      </c>
      <c r="T19" s="77">
        <v>30000</v>
      </c>
      <c r="U19" s="19"/>
    </row>
    <row r="20" spans="1:21" ht="15.75" thickBot="1" x14ac:dyDescent="0.3">
      <c r="A20" s="1"/>
      <c r="B20" s="1"/>
      <c r="C20" s="1"/>
      <c r="D20" s="1" t="s">
        <v>29</v>
      </c>
      <c r="E20" s="1"/>
      <c r="F20" s="1"/>
      <c r="G20" s="5">
        <f t="shared" ref="G20:P20" si="6">ROUND(SUM(G18:G19),5)</f>
        <v>0</v>
      </c>
      <c r="H20" s="5">
        <f t="shared" si="6"/>
        <v>0</v>
      </c>
      <c r="I20" s="5">
        <f t="shared" si="6"/>
        <v>107334</v>
      </c>
      <c r="J20" s="5">
        <f t="shared" si="6"/>
        <v>0</v>
      </c>
      <c r="K20" s="5">
        <f t="shared" si="6"/>
        <v>0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102721.64</v>
      </c>
      <c r="P20" s="5">
        <f t="shared" si="6"/>
        <v>0</v>
      </c>
      <c r="Q20" s="5">
        <f t="shared" ref="Q20:T20" si="7">ROUND(SUM(Q18:Q19),5)</f>
        <v>0</v>
      </c>
      <c r="R20" s="5">
        <f t="shared" si="7"/>
        <v>0</v>
      </c>
      <c r="S20" s="5">
        <f t="shared" si="7"/>
        <v>210055.64</v>
      </c>
      <c r="T20" s="80">
        <f t="shared" si="7"/>
        <v>30000</v>
      </c>
    </row>
    <row r="21" spans="1:21" x14ac:dyDescent="0.25">
      <c r="A21" s="1"/>
      <c r="B21" s="1"/>
      <c r="C21" s="1" t="s">
        <v>30</v>
      </c>
      <c r="D21" s="1"/>
      <c r="E21" s="1"/>
      <c r="F21" s="1"/>
      <c r="G21" s="2">
        <f t="shared" ref="G21:P21" si="8">ROUND(G3+SUM(G11:G12)+G17+G20,5)</f>
        <v>141198.9</v>
      </c>
      <c r="H21" s="2">
        <f t="shared" si="8"/>
        <v>145608.72</v>
      </c>
      <c r="I21" s="2">
        <f t="shared" si="8"/>
        <v>252962.5</v>
      </c>
      <c r="J21" s="2">
        <f t="shared" si="8"/>
        <v>157793.88</v>
      </c>
      <c r="K21" s="2">
        <f t="shared" si="8"/>
        <v>148871.09</v>
      </c>
      <c r="L21" s="2">
        <f t="shared" si="8"/>
        <v>147643.66</v>
      </c>
      <c r="M21" s="2">
        <f t="shared" si="8"/>
        <v>187192.14</v>
      </c>
      <c r="N21" s="2">
        <f t="shared" si="8"/>
        <v>169415.04000000001</v>
      </c>
      <c r="O21" s="2">
        <f t="shared" si="8"/>
        <v>278162.96000000002</v>
      </c>
      <c r="P21" s="2">
        <f t="shared" si="8"/>
        <v>174438.51</v>
      </c>
      <c r="Q21" s="2">
        <f t="shared" ref="Q21:T21" si="9">ROUND(Q3+SUM(Q11:Q12)+Q17+Q20,5)</f>
        <v>169535.22</v>
      </c>
      <c r="R21" s="2">
        <f t="shared" si="9"/>
        <v>169235.22</v>
      </c>
      <c r="S21" s="2">
        <f t="shared" si="9"/>
        <v>2142058.5299999998</v>
      </c>
      <c r="T21" s="79">
        <f t="shared" si="9"/>
        <v>1996707.06629</v>
      </c>
    </row>
    <row r="22" spans="1:21" x14ac:dyDescent="0.25">
      <c r="A22" s="1"/>
      <c r="B22" s="1"/>
      <c r="C22" s="1" t="s">
        <v>31</v>
      </c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7"/>
    </row>
    <row r="23" spans="1:21" x14ac:dyDescent="0.25">
      <c r="A23" s="1"/>
      <c r="B23" s="1"/>
      <c r="C23" s="1"/>
      <c r="D23" s="1" t="s">
        <v>32</v>
      </c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7"/>
    </row>
    <row r="24" spans="1:21" x14ac:dyDescent="0.25">
      <c r="A24" s="1"/>
      <c r="B24" s="1"/>
      <c r="C24" s="1"/>
      <c r="D24" s="1"/>
      <c r="E24" s="1" t="s">
        <v>33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7"/>
    </row>
    <row r="25" spans="1:21" x14ac:dyDescent="0.25">
      <c r="A25" s="1"/>
      <c r="B25" s="1"/>
      <c r="C25" s="1"/>
      <c r="D25" s="1"/>
      <c r="E25" s="1"/>
      <c r="F25" s="1" t="s">
        <v>34</v>
      </c>
      <c r="G25" s="2">
        <v>57728.36</v>
      </c>
      <c r="H25" s="2">
        <v>65101.75</v>
      </c>
      <c r="I25" s="2">
        <v>66496.88</v>
      </c>
      <c r="J25" s="2">
        <v>72820.800000000003</v>
      </c>
      <c r="K25" s="2">
        <v>70588.960000000006</v>
      </c>
      <c r="L25" s="2">
        <v>71984.100000000006</v>
      </c>
      <c r="M25" s="2">
        <v>70866.960000000006</v>
      </c>
      <c r="N25" s="2">
        <v>71304.06</v>
      </c>
      <c r="O25" s="2">
        <v>72462.460000000006</v>
      </c>
      <c r="P25" s="2">
        <v>70783.3</v>
      </c>
      <c r="Q25" s="2">
        <v>70783.3</v>
      </c>
      <c r="R25" s="2">
        <v>70783.3</v>
      </c>
      <c r="S25" s="2">
        <f t="shared" ref="S25:S35" si="10">ROUND(SUM(G25:R25),5)</f>
        <v>831704.23</v>
      </c>
      <c r="T25" s="77">
        <f>payroll!O26</f>
        <v>676500</v>
      </c>
    </row>
    <row r="26" spans="1:21" x14ac:dyDescent="0.25">
      <c r="A26" s="1"/>
      <c r="B26" s="1"/>
      <c r="C26" s="1"/>
      <c r="D26" s="1"/>
      <c r="E26" s="1"/>
      <c r="F26" s="1" t="s">
        <v>35</v>
      </c>
      <c r="G26" s="2">
        <v>3356</v>
      </c>
      <c r="H26" s="2">
        <v>4326.18</v>
      </c>
      <c r="I26" s="2">
        <v>3964.87</v>
      </c>
      <c r="J26" s="2">
        <v>4174.6400000000003</v>
      </c>
      <c r="K26" s="2">
        <v>4197.41</v>
      </c>
      <c r="L26" s="2">
        <v>4256.8599999999997</v>
      </c>
      <c r="M26" s="2">
        <v>4201.12</v>
      </c>
      <c r="N26" s="2">
        <v>4134.96</v>
      </c>
      <c r="O26" s="2">
        <v>4291.84</v>
      </c>
      <c r="P26" s="2">
        <v>4216.21</v>
      </c>
      <c r="Q26" s="2">
        <v>4216.21</v>
      </c>
      <c r="R26" s="2">
        <v>4216.21</v>
      </c>
      <c r="S26" s="2">
        <f t="shared" si="10"/>
        <v>49552.51</v>
      </c>
      <c r="T26" s="77">
        <f>payroll!O28</f>
        <v>41943</v>
      </c>
    </row>
    <row r="27" spans="1:21" x14ac:dyDescent="0.25">
      <c r="A27" s="1"/>
      <c r="B27" s="1"/>
      <c r="C27" s="1"/>
      <c r="D27" s="1"/>
      <c r="E27" s="1"/>
      <c r="F27" s="1" t="s">
        <v>36</v>
      </c>
      <c r="G27" s="2">
        <v>6070.44</v>
      </c>
      <c r="H27" s="2">
        <v>1262.71</v>
      </c>
      <c r="I27" s="2">
        <v>7285.36</v>
      </c>
      <c r="J27" s="2">
        <v>7557.92</v>
      </c>
      <c r="K27" s="2">
        <v>3599.82</v>
      </c>
      <c r="L27" s="2">
        <v>4314.97</v>
      </c>
      <c r="M27" s="2">
        <v>4817.17</v>
      </c>
      <c r="N27" s="2">
        <v>5256.03</v>
      </c>
      <c r="O27" s="2">
        <v>5256.03</v>
      </c>
      <c r="P27" s="2">
        <v>6593</v>
      </c>
      <c r="Q27" s="2">
        <v>6593</v>
      </c>
      <c r="R27" s="2">
        <v>6593</v>
      </c>
      <c r="S27" s="2">
        <f t="shared" si="10"/>
        <v>65199.45</v>
      </c>
      <c r="T27" s="77">
        <f>S27*1.15</f>
        <v>74979.367499999993</v>
      </c>
    </row>
    <row r="28" spans="1:21" x14ac:dyDescent="0.25">
      <c r="A28" s="1"/>
      <c r="B28" s="1"/>
      <c r="C28" s="1"/>
      <c r="D28" s="1"/>
      <c r="E28" s="1"/>
      <c r="F28" s="1" t="s">
        <v>37</v>
      </c>
      <c r="G28" s="2">
        <v>0</v>
      </c>
      <c r="H28" s="2">
        <v>0</v>
      </c>
      <c r="I28" s="2">
        <v>0</v>
      </c>
      <c r="J28" s="2">
        <v>336</v>
      </c>
      <c r="K28" s="2">
        <v>0</v>
      </c>
      <c r="L28" s="2">
        <v>0</v>
      </c>
      <c r="M28" s="2">
        <v>672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f t="shared" si="10"/>
        <v>1008</v>
      </c>
      <c r="T28" s="77">
        <v>1200</v>
      </c>
    </row>
    <row r="29" spans="1:21" x14ac:dyDescent="0.25">
      <c r="A29" s="1"/>
      <c r="B29" s="1"/>
      <c r="C29" s="1"/>
      <c r="D29" s="1"/>
      <c r="E29" s="1"/>
      <c r="F29" s="1" t="s">
        <v>38</v>
      </c>
      <c r="G29" s="2">
        <v>0.34</v>
      </c>
      <c r="H29" s="2">
        <v>128.79</v>
      </c>
      <c r="I29" s="2">
        <v>66.03</v>
      </c>
      <c r="J29" s="2">
        <v>39.54</v>
      </c>
      <c r="K29" s="2">
        <v>17.36</v>
      </c>
      <c r="L29" s="2">
        <v>243.9</v>
      </c>
      <c r="M29" s="2">
        <v>465.81</v>
      </c>
      <c r="N29" s="2">
        <v>95</v>
      </c>
      <c r="O29" s="2">
        <v>3.46</v>
      </c>
      <c r="P29" s="2">
        <v>-872.92</v>
      </c>
      <c r="Q29" s="2">
        <v>-872.92</v>
      </c>
      <c r="R29" s="2">
        <v>-872.92</v>
      </c>
      <c r="S29" s="2">
        <f t="shared" si="10"/>
        <v>-1558.53</v>
      </c>
      <c r="T29" s="77">
        <f>payroll!O30</f>
        <v>3640</v>
      </c>
    </row>
    <row r="30" spans="1:21" x14ac:dyDescent="0.25">
      <c r="A30" s="1"/>
      <c r="B30" s="1"/>
      <c r="C30" s="1"/>
      <c r="D30" s="1"/>
      <c r="E30" s="1"/>
      <c r="F30" s="1" t="s">
        <v>39</v>
      </c>
      <c r="G30" s="2">
        <v>784.92</v>
      </c>
      <c r="H30" s="2">
        <v>899.32</v>
      </c>
      <c r="I30" s="2">
        <v>927.33</v>
      </c>
      <c r="J30" s="2">
        <v>976.36</v>
      </c>
      <c r="K30" s="2">
        <v>981.66</v>
      </c>
      <c r="L30" s="2">
        <v>995.46</v>
      </c>
      <c r="M30" s="2">
        <v>1007.45</v>
      </c>
      <c r="N30" s="2">
        <v>1012.42</v>
      </c>
      <c r="O30" s="2">
        <v>1003.63</v>
      </c>
      <c r="P30" s="2">
        <v>986.1</v>
      </c>
      <c r="Q30" s="2">
        <v>986.1</v>
      </c>
      <c r="R30" s="2">
        <v>986.1</v>
      </c>
      <c r="S30" s="2">
        <f t="shared" si="10"/>
        <v>11546.85</v>
      </c>
      <c r="T30" s="77">
        <f>payroll!O29</f>
        <v>9809.25</v>
      </c>
    </row>
    <row r="31" spans="1:21" x14ac:dyDescent="0.25">
      <c r="A31" s="1"/>
      <c r="B31" s="1"/>
      <c r="C31" s="1"/>
      <c r="D31" s="1"/>
      <c r="E31" s="1"/>
      <c r="F31" s="1" t="s">
        <v>40</v>
      </c>
      <c r="G31" s="2">
        <v>0</v>
      </c>
      <c r="H31" s="2">
        <v>0</v>
      </c>
      <c r="I31" s="2">
        <v>2770.1</v>
      </c>
      <c r="J31" s="2">
        <v>0</v>
      </c>
      <c r="K31" s="2">
        <v>0</v>
      </c>
      <c r="L31" s="2">
        <v>0</v>
      </c>
      <c r="M31" s="2">
        <v>4984.6400000000003</v>
      </c>
      <c r="N31" s="2">
        <v>0</v>
      </c>
      <c r="O31" s="2">
        <v>0</v>
      </c>
      <c r="P31" s="2">
        <v>3670.98</v>
      </c>
      <c r="Q31" s="2">
        <v>3670.98</v>
      </c>
      <c r="R31" s="2">
        <v>3670.98</v>
      </c>
      <c r="S31" s="2">
        <f t="shared" si="10"/>
        <v>18767.68</v>
      </c>
      <c r="T31" s="77">
        <v>10000</v>
      </c>
    </row>
    <row r="32" spans="1:21" x14ac:dyDescent="0.25">
      <c r="A32" s="1"/>
      <c r="B32" s="1"/>
      <c r="C32" s="1"/>
      <c r="D32" s="1"/>
      <c r="E32" s="1"/>
      <c r="F32" s="1" t="s">
        <v>41</v>
      </c>
      <c r="G32" s="2">
        <v>0</v>
      </c>
      <c r="H32" s="2">
        <v>2225.7800000000002</v>
      </c>
      <c r="I32" s="2">
        <v>3294.46</v>
      </c>
      <c r="J32" s="2">
        <v>2730.8</v>
      </c>
      <c r="K32" s="2">
        <v>1849.45</v>
      </c>
      <c r="L32" s="2">
        <v>5132.33</v>
      </c>
      <c r="M32" s="2">
        <v>1358.85</v>
      </c>
      <c r="N32" s="2">
        <v>3255.95</v>
      </c>
      <c r="O32" s="2">
        <v>1537.58</v>
      </c>
      <c r="P32" s="2">
        <v>232.41</v>
      </c>
      <c r="Q32" s="2">
        <v>232.41</v>
      </c>
      <c r="R32" s="2">
        <v>232.41</v>
      </c>
      <c r="S32" s="2">
        <f t="shared" si="10"/>
        <v>22082.43</v>
      </c>
      <c r="T32" s="77">
        <v>25000</v>
      </c>
    </row>
    <row r="33" spans="1:20" x14ac:dyDescent="0.25">
      <c r="A33" s="1"/>
      <c r="B33" s="1"/>
      <c r="C33" s="1"/>
      <c r="D33" s="1"/>
      <c r="E33" s="1"/>
      <c r="F33" s="1" t="s">
        <v>42</v>
      </c>
      <c r="G33" s="2">
        <v>0</v>
      </c>
      <c r="H33" s="2">
        <v>2755.31</v>
      </c>
      <c r="I33" s="2">
        <v>344.04</v>
      </c>
      <c r="J33" s="2">
        <v>-547.41999999999996</v>
      </c>
      <c r="K33" s="2">
        <v>421.95</v>
      </c>
      <c r="L33" s="2">
        <v>548.63</v>
      </c>
      <c r="M33" s="2">
        <v>107.49</v>
      </c>
      <c r="N33" s="2">
        <v>249.07</v>
      </c>
      <c r="O33" s="2">
        <v>74.989999999999995</v>
      </c>
      <c r="P33" s="2">
        <v>0</v>
      </c>
      <c r="Q33" s="2">
        <v>0</v>
      </c>
      <c r="R33" s="2">
        <v>0</v>
      </c>
      <c r="S33" s="2">
        <f t="shared" si="10"/>
        <v>3954.06</v>
      </c>
      <c r="T33" s="77">
        <v>4000</v>
      </c>
    </row>
    <row r="34" spans="1:20" x14ac:dyDescent="0.25">
      <c r="A34" s="1"/>
      <c r="B34" s="1"/>
      <c r="C34" s="1"/>
      <c r="D34" s="1"/>
      <c r="E34" s="1"/>
      <c r="F34" s="1" t="s">
        <v>43</v>
      </c>
      <c r="G34" s="2">
        <v>0</v>
      </c>
      <c r="H34" s="2">
        <v>-9.64</v>
      </c>
      <c r="I34" s="2">
        <v>0</v>
      </c>
      <c r="J34" s="2">
        <v>552.65</v>
      </c>
      <c r="K34" s="2">
        <v>-10.3</v>
      </c>
      <c r="L34" s="2">
        <v>186.26</v>
      </c>
      <c r="M34" s="2">
        <v>126.42</v>
      </c>
      <c r="N34" s="2">
        <v>671.02</v>
      </c>
      <c r="O34" s="2">
        <v>5923.64</v>
      </c>
      <c r="P34" s="2">
        <v>6897.35</v>
      </c>
      <c r="Q34" s="2">
        <v>0</v>
      </c>
      <c r="R34" s="2">
        <v>0</v>
      </c>
      <c r="S34" s="2">
        <f t="shared" si="10"/>
        <v>14337.4</v>
      </c>
      <c r="T34" s="77">
        <v>15000</v>
      </c>
    </row>
    <row r="35" spans="1:20" ht="15.75" thickBot="1" x14ac:dyDescent="0.3">
      <c r="A35" s="1"/>
      <c r="B35" s="1"/>
      <c r="C35" s="1"/>
      <c r="D35" s="1"/>
      <c r="E35" s="1"/>
      <c r="F35" s="1" t="s">
        <v>44</v>
      </c>
      <c r="G35" s="3">
        <v>0</v>
      </c>
      <c r="H35" s="3">
        <v>666.33</v>
      </c>
      <c r="I35" s="3">
        <v>1214.67</v>
      </c>
      <c r="J35" s="3">
        <v>117.99</v>
      </c>
      <c r="K35" s="3">
        <v>666.33</v>
      </c>
      <c r="L35" s="3">
        <v>666.33</v>
      </c>
      <c r="M35" s="3">
        <v>117.99</v>
      </c>
      <c r="N35" s="3">
        <v>117.99</v>
      </c>
      <c r="O35" s="3">
        <v>1763.01</v>
      </c>
      <c r="P35" s="3">
        <v>117.99</v>
      </c>
      <c r="Q35" s="3">
        <v>117.99</v>
      </c>
      <c r="R35" s="3">
        <v>117.99</v>
      </c>
      <c r="S35" s="2">
        <f t="shared" si="10"/>
        <v>5684.61</v>
      </c>
      <c r="T35" s="77">
        <v>1000</v>
      </c>
    </row>
    <row r="36" spans="1:20" x14ac:dyDescent="0.25">
      <c r="A36" s="1"/>
      <c r="B36" s="1"/>
      <c r="C36" s="1"/>
      <c r="D36" s="1"/>
      <c r="E36" s="1" t="s">
        <v>45</v>
      </c>
      <c r="F36" s="1"/>
      <c r="G36" s="2">
        <f t="shared" ref="G36:P36" si="11">ROUND(SUM(G24:G35),5)</f>
        <v>67940.06</v>
      </c>
      <c r="H36" s="2">
        <f t="shared" si="11"/>
        <v>77356.53</v>
      </c>
      <c r="I36" s="2">
        <f t="shared" si="11"/>
        <v>86363.74</v>
      </c>
      <c r="J36" s="2">
        <f t="shared" si="11"/>
        <v>88759.28</v>
      </c>
      <c r="K36" s="2">
        <f t="shared" si="11"/>
        <v>82312.639999999999</v>
      </c>
      <c r="L36" s="2">
        <f t="shared" si="11"/>
        <v>88328.84</v>
      </c>
      <c r="M36" s="2">
        <f t="shared" si="11"/>
        <v>88725.9</v>
      </c>
      <c r="N36" s="2">
        <f t="shared" si="11"/>
        <v>86096.5</v>
      </c>
      <c r="O36" s="2">
        <f t="shared" si="11"/>
        <v>92316.64</v>
      </c>
      <c r="P36" s="2">
        <f t="shared" si="11"/>
        <v>92624.42</v>
      </c>
      <c r="Q36" s="2">
        <f t="shared" ref="Q36:T36" si="12">ROUND(SUM(Q24:Q35),5)</f>
        <v>85727.07</v>
      </c>
      <c r="R36" s="2">
        <f t="shared" si="12"/>
        <v>85727.07</v>
      </c>
      <c r="S36" s="2">
        <f t="shared" si="12"/>
        <v>1022278.69</v>
      </c>
      <c r="T36" s="78">
        <f t="shared" si="12"/>
        <v>863071.61750000005</v>
      </c>
    </row>
    <row r="37" spans="1:20" x14ac:dyDescent="0.25">
      <c r="A37" s="1"/>
      <c r="B37" s="1"/>
      <c r="C37" s="1"/>
      <c r="D37" s="1"/>
      <c r="E37" s="1" t="s">
        <v>46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7"/>
    </row>
    <row r="38" spans="1:20" x14ac:dyDescent="0.25">
      <c r="A38" s="1"/>
      <c r="B38" s="1"/>
      <c r="C38" s="1"/>
      <c r="D38" s="1"/>
      <c r="E38" s="1"/>
      <c r="F38" s="1" t="s">
        <v>207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7">
        <f>payroll!P26</f>
        <v>49000</v>
      </c>
    </row>
    <row r="39" spans="1:20" x14ac:dyDescent="0.25">
      <c r="A39" s="1"/>
      <c r="B39" s="1"/>
      <c r="C39" s="1"/>
      <c r="D39" s="1"/>
      <c r="E39" s="1"/>
      <c r="F39" s="1" t="s">
        <v>208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77">
        <f>payroll!P28</f>
        <v>3038</v>
      </c>
    </row>
    <row r="40" spans="1:20" x14ac:dyDescent="0.25">
      <c r="A40" s="1"/>
      <c r="B40" s="1"/>
      <c r="C40" s="1"/>
      <c r="D40" s="1"/>
      <c r="E40" s="1"/>
      <c r="F40" s="1" t="s">
        <v>209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7">
        <v>7000</v>
      </c>
    </row>
    <row r="41" spans="1:20" x14ac:dyDescent="0.25">
      <c r="A41" s="1"/>
      <c r="B41" s="1"/>
      <c r="C41" s="1"/>
      <c r="D41" s="1"/>
      <c r="E41" s="1"/>
      <c r="F41" s="1" t="s">
        <v>210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77">
        <f>payroll!P30</f>
        <v>280</v>
      </c>
    </row>
    <row r="42" spans="1:20" x14ac:dyDescent="0.25">
      <c r="A42" s="1"/>
      <c r="B42" s="1"/>
      <c r="C42" s="1"/>
      <c r="D42" s="1"/>
      <c r="E42" s="1"/>
      <c r="F42" s="1" t="s">
        <v>211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7">
        <f>payroll!P29</f>
        <v>710.5</v>
      </c>
    </row>
    <row r="43" spans="1:20" ht="15.75" thickBot="1" x14ac:dyDescent="0.3">
      <c r="A43" s="1"/>
      <c r="B43" s="1"/>
      <c r="C43" s="1"/>
      <c r="D43" s="1"/>
      <c r="E43" s="1"/>
      <c r="F43" s="1" t="s">
        <v>47</v>
      </c>
      <c r="G43" s="3">
        <v>0</v>
      </c>
      <c r="H43" s="3">
        <v>0</v>
      </c>
      <c r="I43" s="3">
        <v>603.5</v>
      </c>
      <c r="J43" s="3">
        <v>1290.5</v>
      </c>
      <c r="K43" s="3">
        <v>1491</v>
      </c>
      <c r="L43" s="3">
        <v>1513.75</v>
      </c>
      <c r="M43" s="3">
        <v>1128</v>
      </c>
      <c r="N43" s="3">
        <v>2883.11</v>
      </c>
      <c r="O43" s="3">
        <v>1023</v>
      </c>
      <c r="P43" s="3">
        <v>129.5</v>
      </c>
      <c r="Q43" s="3">
        <v>129.5</v>
      </c>
      <c r="R43" s="3">
        <v>129.5</v>
      </c>
      <c r="S43" s="2">
        <f>ROUND(SUM(G43:R43),5)</f>
        <v>10321.36</v>
      </c>
      <c r="T43" s="77">
        <v>11000</v>
      </c>
    </row>
    <row r="44" spans="1:20" x14ac:dyDescent="0.25">
      <c r="A44" s="1"/>
      <c r="B44" s="1"/>
      <c r="C44" s="1"/>
      <c r="D44" s="1"/>
      <c r="E44" s="1" t="s">
        <v>48</v>
      </c>
      <c r="F44" s="1"/>
      <c r="G44" s="2">
        <f t="shared" ref="G44:P44" si="13">ROUND(SUM(G37:G43),5)</f>
        <v>0</v>
      </c>
      <c r="H44" s="2">
        <f t="shared" si="13"/>
        <v>0</v>
      </c>
      <c r="I44" s="2">
        <f t="shared" si="13"/>
        <v>603.5</v>
      </c>
      <c r="J44" s="2">
        <f t="shared" si="13"/>
        <v>1290.5</v>
      </c>
      <c r="K44" s="2">
        <f t="shared" si="13"/>
        <v>1491</v>
      </c>
      <c r="L44" s="2">
        <f t="shared" si="13"/>
        <v>1513.75</v>
      </c>
      <c r="M44" s="2">
        <f t="shared" si="13"/>
        <v>1128</v>
      </c>
      <c r="N44" s="2">
        <f t="shared" si="13"/>
        <v>2883.11</v>
      </c>
      <c r="O44" s="2">
        <f t="shared" si="13"/>
        <v>1023</v>
      </c>
      <c r="P44" s="2">
        <f t="shared" si="13"/>
        <v>129.5</v>
      </c>
      <c r="Q44" s="2">
        <f t="shared" ref="Q44:T44" si="14">ROUND(SUM(Q37:Q43),5)</f>
        <v>129.5</v>
      </c>
      <c r="R44" s="2">
        <f t="shared" si="14"/>
        <v>129.5</v>
      </c>
      <c r="S44" s="2">
        <f t="shared" si="14"/>
        <v>10321.36</v>
      </c>
      <c r="T44" s="78">
        <f t="shared" si="14"/>
        <v>71028.5</v>
      </c>
    </row>
    <row r="45" spans="1:20" x14ac:dyDescent="0.25">
      <c r="A45" s="1"/>
      <c r="B45" s="1"/>
      <c r="C45" s="1"/>
      <c r="D45" s="1"/>
      <c r="E45" s="1" t="s">
        <v>49</v>
      </c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7"/>
    </row>
    <row r="46" spans="1:20" ht="15.75" thickBot="1" x14ac:dyDescent="0.3">
      <c r="A46" s="1"/>
      <c r="B46" s="1"/>
      <c r="C46" s="1"/>
      <c r="D46" s="1"/>
      <c r="E46" s="1"/>
      <c r="F46" s="1" t="s">
        <v>50</v>
      </c>
      <c r="G46" s="3">
        <v>0</v>
      </c>
      <c r="H46" s="3">
        <v>0</v>
      </c>
      <c r="I46" s="3">
        <v>694.3</v>
      </c>
      <c r="J46" s="3">
        <v>1235.3</v>
      </c>
      <c r="K46" s="3">
        <v>1235.3</v>
      </c>
      <c r="L46" s="3">
        <v>0</v>
      </c>
      <c r="M46" s="3">
        <v>2470.6</v>
      </c>
      <c r="N46" s="3">
        <v>1235.3</v>
      </c>
      <c r="O46" s="3">
        <v>1235.3</v>
      </c>
      <c r="P46" s="3">
        <v>1235.3</v>
      </c>
      <c r="Q46" s="3">
        <v>1235.3</v>
      </c>
      <c r="R46" s="3">
        <v>1235.3</v>
      </c>
      <c r="S46" s="2">
        <f>ROUND(SUM(G46:R46),5)</f>
        <v>11812</v>
      </c>
      <c r="T46" s="77">
        <v>12000</v>
      </c>
    </row>
    <row r="47" spans="1:20" x14ac:dyDescent="0.25">
      <c r="A47" s="1"/>
      <c r="B47" s="1"/>
      <c r="C47" s="1"/>
      <c r="D47" s="1"/>
      <c r="E47" s="1" t="s">
        <v>51</v>
      </c>
      <c r="F47" s="1"/>
      <c r="G47" s="2">
        <f t="shared" ref="G47:P47" si="15">ROUND(SUM(G45:G46),5)</f>
        <v>0</v>
      </c>
      <c r="H47" s="2">
        <f t="shared" si="15"/>
        <v>0</v>
      </c>
      <c r="I47" s="2">
        <f t="shared" si="15"/>
        <v>694.3</v>
      </c>
      <c r="J47" s="2">
        <f t="shared" si="15"/>
        <v>1235.3</v>
      </c>
      <c r="K47" s="2">
        <f t="shared" si="15"/>
        <v>1235.3</v>
      </c>
      <c r="L47" s="2">
        <f t="shared" si="15"/>
        <v>0</v>
      </c>
      <c r="M47" s="2">
        <f t="shared" si="15"/>
        <v>2470.6</v>
      </c>
      <c r="N47" s="2">
        <f t="shared" si="15"/>
        <v>1235.3</v>
      </c>
      <c r="O47" s="2">
        <f t="shared" si="15"/>
        <v>1235.3</v>
      </c>
      <c r="P47" s="2">
        <f t="shared" si="15"/>
        <v>1235.3</v>
      </c>
      <c r="Q47" s="2">
        <f t="shared" ref="Q47:T47" si="16">ROUND(SUM(Q45:Q46),5)</f>
        <v>1235.3</v>
      </c>
      <c r="R47" s="2">
        <f t="shared" si="16"/>
        <v>1235.3</v>
      </c>
      <c r="S47" s="2">
        <f t="shared" si="16"/>
        <v>11812</v>
      </c>
      <c r="T47" s="78">
        <f t="shared" si="16"/>
        <v>12000</v>
      </c>
    </row>
    <row r="48" spans="1:20" x14ac:dyDescent="0.25">
      <c r="A48" s="1"/>
      <c r="B48" s="1"/>
      <c r="C48" s="1"/>
      <c r="D48" s="1"/>
      <c r="E48" s="1" t="s">
        <v>212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77"/>
    </row>
    <row r="49" spans="1:20" x14ac:dyDescent="0.25">
      <c r="A49" s="1"/>
      <c r="B49" s="1"/>
      <c r="C49" s="1"/>
      <c r="D49" s="1"/>
      <c r="E49" s="1"/>
      <c r="F49" s="1" t="s">
        <v>213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77">
        <f>payroll!Q26</f>
        <v>0</v>
      </c>
    </row>
    <row r="50" spans="1:20" x14ac:dyDescent="0.25">
      <c r="A50" s="1"/>
      <c r="B50" s="1"/>
      <c r="C50" s="1"/>
      <c r="D50" s="1"/>
      <c r="E50" s="1"/>
      <c r="F50" s="1" t="s">
        <v>214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77">
        <f>payroll!Q28</f>
        <v>0</v>
      </c>
    </row>
    <row r="51" spans="1:20" x14ac:dyDescent="0.25">
      <c r="A51" s="1"/>
      <c r="B51" s="1"/>
      <c r="C51" s="1"/>
      <c r="D51" s="1"/>
      <c r="E51" s="1"/>
      <c r="F51" s="1" t="s">
        <v>215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77">
        <v>0</v>
      </c>
    </row>
    <row r="52" spans="1:20" x14ac:dyDescent="0.25">
      <c r="A52" s="1"/>
      <c r="B52" s="1"/>
      <c r="C52" s="1"/>
      <c r="D52" s="1"/>
      <c r="E52" s="1"/>
      <c r="F52" s="1" t="s">
        <v>216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77">
        <v>0</v>
      </c>
    </row>
    <row r="53" spans="1:20" x14ac:dyDescent="0.25">
      <c r="A53" s="1"/>
      <c r="B53" s="1"/>
      <c r="C53" s="1"/>
      <c r="D53" s="1"/>
      <c r="E53" s="1"/>
      <c r="F53" s="1" t="s">
        <v>217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77">
        <f>payroll!Q29</f>
        <v>0</v>
      </c>
    </row>
    <row r="54" spans="1:20" ht="15.75" thickBot="1" x14ac:dyDescent="0.3">
      <c r="A54" s="1"/>
      <c r="B54" s="1"/>
      <c r="C54" s="1"/>
      <c r="D54" s="1"/>
      <c r="E54" s="1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77"/>
    </row>
    <row r="55" spans="1:20" x14ac:dyDescent="0.25">
      <c r="A55" s="1"/>
      <c r="B55" s="1"/>
      <c r="C55" s="1"/>
      <c r="D55" s="1"/>
      <c r="E55" s="1" t="s">
        <v>48</v>
      </c>
      <c r="F55" s="1"/>
      <c r="G55" s="2">
        <f t="shared" ref="G55:T55" si="17">ROUND(SUM(G48:G54),5)</f>
        <v>0</v>
      </c>
      <c r="H55" s="2">
        <f t="shared" si="17"/>
        <v>0</v>
      </c>
      <c r="I55" s="2">
        <f t="shared" si="17"/>
        <v>0</v>
      </c>
      <c r="J55" s="2">
        <f t="shared" si="17"/>
        <v>0</v>
      </c>
      <c r="K55" s="2">
        <f t="shared" si="17"/>
        <v>0</v>
      </c>
      <c r="L55" s="2">
        <f t="shared" si="17"/>
        <v>0</v>
      </c>
      <c r="M55" s="2">
        <f t="shared" si="17"/>
        <v>0</v>
      </c>
      <c r="N55" s="2">
        <f t="shared" si="17"/>
        <v>0</v>
      </c>
      <c r="O55" s="2">
        <f t="shared" si="17"/>
        <v>0</v>
      </c>
      <c r="P55" s="2">
        <f t="shared" si="17"/>
        <v>0</v>
      </c>
      <c r="Q55" s="2">
        <f t="shared" si="17"/>
        <v>0</v>
      </c>
      <c r="R55" s="2">
        <f t="shared" si="17"/>
        <v>0</v>
      </c>
      <c r="S55" s="2">
        <f t="shared" si="17"/>
        <v>0</v>
      </c>
      <c r="T55" s="78">
        <f t="shared" si="17"/>
        <v>0</v>
      </c>
    </row>
    <row r="56" spans="1:20" x14ac:dyDescent="0.25">
      <c r="A56" s="1"/>
      <c r="B56" s="1"/>
      <c r="C56" s="1"/>
      <c r="D56" s="1"/>
      <c r="E56" s="1" t="s">
        <v>52</v>
      </c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 t="s">
        <v>158</v>
      </c>
      <c r="T56" s="77"/>
    </row>
    <row r="57" spans="1:20" ht="15.75" thickBot="1" x14ac:dyDescent="0.3">
      <c r="A57" s="1"/>
      <c r="B57" s="1"/>
      <c r="C57" s="1"/>
      <c r="D57" s="1"/>
      <c r="E57" s="1"/>
      <c r="F57" s="1" t="s">
        <v>53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75</v>
      </c>
      <c r="P57" s="3">
        <v>0</v>
      </c>
      <c r="Q57" s="3">
        <v>0</v>
      </c>
      <c r="R57" s="3">
        <v>0</v>
      </c>
      <c r="S57" s="2">
        <f>ROUND(SUM(G57:R57),5)</f>
        <v>75</v>
      </c>
      <c r="T57" s="77">
        <v>100</v>
      </c>
    </row>
    <row r="58" spans="1:20" x14ac:dyDescent="0.25">
      <c r="A58" s="1"/>
      <c r="B58" s="1"/>
      <c r="C58" s="1"/>
      <c r="D58" s="1"/>
      <c r="E58" s="1" t="s">
        <v>54</v>
      </c>
      <c r="F58" s="1"/>
      <c r="G58" s="2">
        <f t="shared" ref="G58:P58" si="18">ROUND(SUM(G56:G57),5)</f>
        <v>0</v>
      </c>
      <c r="H58" s="2">
        <f t="shared" si="18"/>
        <v>0</v>
      </c>
      <c r="I58" s="2">
        <f t="shared" si="18"/>
        <v>0</v>
      </c>
      <c r="J58" s="2">
        <f t="shared" si="18"/>
        <v>0</v>
      </c>
      <c r="K58" s="2">
        <f t="shared" si="18"/>
        <v>0</v>
      </c>
      <c r="L58" s="2">
        <f t="shared" si="18"/>
        <v>0</v>
      </c>
      <c r="M58" s="2">
        <f t="shared" si="18"/>
        <v>0</v>
      </c>
      <c r="N58" s="2">
        <f t="shared" si="18"/>
        <v>0</v>
      </c>
      <c r="O58" s="2">
        <f t="shared" si="18"/>
        <v>75</v>
      </c>
      <c r="P58" s="2">
        <f t="shared" si="18"/>
        <v>0</v>
      </c>
      <c r="Q58" s="2">
        <f t="shared" ref="Q58:T58" si="19">ROUND(SUM(Q56:Q57),5)</f>
        <v>0</v>
      </c>
      <c r="R58" s="2">
        <f t="shared" si="19"/>
        <v>0</v>
      </c>
      <c r="S58" s="2">
        <f t="shared" si="19"/>
        <v>75</v>
      </c>
      <c r="T58" s="78">
        <f t="shared" si="19"/>
        <v>100</v>
      </c>
    </row>
    <row r="59" spans="1:20" x14ac:dyDescent="0.25">
      <c r="A59" s="1"/>
      <c r="B59" s="1"/>
      <c r="C59" s="1"/>
      <c r="D59" s="1"/>
      <c r="E59" s="1" t="s">
        <v>55</v>
      </c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77"/>
    </row>
    <row r="60" spans="1:20" ht="15.75" thickBot="1" x14ac:dyDescent="0.3">
      <c r="A60" s="1"/>
      <c r="B60" s="1"/>
      <c r="C60" s="1"/>
      <c r="D60" s="1"/>
      <c r="E60" s="1"/>
      <c r="F60" s="1" t="s">
        <v>56</v>
      </c>
      <c r="G60" s="3">
        <v>0</v>
      </c>
      <c r="H60" s="3">
        <v>0</v>
      </c>
      <c r="I60" s="3">
        <v>0</v>
      </c>
      <c r="J60" s="3">
        <v>0</v>
      </c>
      <c r="K60" s="3">
        <v>90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2">
        <f>ROUND(SUM(G60:R60),5)</f>
        <v>90</v>
      </c>
      <c r="T60" s="77">
        <v>100</v>
      </c>
    </row>
    <row r="61" spans="1:20" x14ac:dyDescent="0.25">
      <c r="A61" s="1"/>
      <c r="B61" s="1"/>
      <c r="C61" s="1"/>
      <c r="D61" s="1"/>
      <c r="E61" s="1" t="s">
        <v>57</v>
      </c>
      <c r="F61" s="1"/>
      <c r="G61" s="2">
        <f t="shared" ref="G61:P61" si="20">ROUND(SUM(G59:G60),5)</f>
        <v>0</v>
      </c>
      <c r="H61" s="2">
        <f t="shared" si="20"/>
        <v>0</v>
      </c>
      <c r="I61" s="2">
        <f t="shared" si="20"/>
        <v>0</v>
      </c>
      <c r="J61" s="2">
        <f t="shared" si="20"/>
        <v>0</v>
      </c>
      <c r="K61" s="2">
        <f t="shared" si="20"/>
        <v>90</v>
      </c>
      <c r="L61" s="2">
        <f t="shared" si="20"/>
        <v>0</v>
      </c>
      <c r="M61" s="2">
        <f t="shared" si="20"/>
        <v>0</v>
      </c>
      <c r="N61" s="2">
        <f t="shared" si="20"/>
        <v>0</v>
      </c>
      <c r="O61" s="2">
        <f t="shared" si="20"/>
        <v>0</v>
      </c>
      <c r="P61" s="2">
        <f t="shared" si="20"/>
        <v>0</v>
      </c>
      <c r="Q61" s="2">
        <f t="shared" ref="Q61:T61" si="21">ROUND(SUM(Q59:Q60),5)</f>
        <v>0</v>
      </c>
      <c r="R61" s="2">
        <f t="shared" si="21"/>
        <v>0</v>
      </c>
      <c r="S61" s="2">
        <f t="shared" si="21"/>
        <v>90</v>
      </c>
      <c r="T61" s="78">
        <f t="shared" si="21"/>
        <v>100</v>
      </c>
    </row>
    <row r="62" spans="1:20" x14ac:dyDescent="0.25">
      <c r="A62" s="1"/>
      <c r="B62" s="1"/>
      <c r="C62" s="1"/>
      <c r="D62" s="1"/>
      <c r="E62" s="1" t="s">
        <v>58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77"/>
    </row>
    <row r="63" spans="1:20" x14ac:dyDescent="0.25">
      <c r="A63" s="1"/>
      <c r="B63" s="1"/>
      <c r="C63" s="1"/>
      <c r="D63" s="1"/>
      <c r="E63" s="1"/>
      <c r="F63" s="1" t="s">
        <v>59</v>
      </c>
      <c r="G63" s="2">
        <v>0</v>
      </c>
      <c r="H63" s="2">
        <v>0</v>
      </c>
      <c r="I63" s="2">
        <v>7250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1000</v>
      </c>
      <c r="Q63" s="2">
        <v>1000</v>
      </c>
      <c r="R63" s="2">
        <v>1000</v>
      </c>
      <c r="S63" s="2">
        <f>ROUND(SUM(G63:R63),5)</f>
        <v>10250</v>
      </c>
      <c r="T63" s="77">
        <v>11000</v>
      </c>
    </row>
    <row r="64" spans="1:20" ht="15.75" thickBot="1" x14ac:dyDescent="0.3">
      <c r="A64" s="1"/>
      <c r="B64" s="1"/>
      <c r="C64" s="1"/>
      <c r="D64" s="1"/>
      <c r="E64" s="1"/>
      <c r="F64" s="1" t="s">
        <v>60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365.96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2">
        <f>ROUND(SUM(G64:R64),5)</f>
        <v>365.96</v>
      </c>
      <c r="T64" s="77">
        <v>400</v>
      </c>
    </row>
    <row r="65" spans="1:20" x14ac:dyDescent="0.25">
      <c r="A65" s="1"/>
      <c r="B65" s="1"/>
      <c r="C65" s="1"/>
      <c r="D65" s="1"/>
      <c r="E65" s="1" t="s">
        <v>61</v>
      </c>
      <c r="F65" s="1"/>
      <c r="G65" s="2">
        <f t="shared" ref="G65:P65" si="22">ROUND(SUM(G62:G64),5)</f>
        <v>0</v>
      </c>
      <c r="H65" s="2">
        <f t="shared" si="22"/>
        <v>0</v>
      </c>
      <c r="I65" s="2">
        <f t="shared" si="22"/>
        <v>7250</v>
      </c>
      <c r="J65" s="2">
        <f t="shared" si="22"/>
        <v>0</v>
      </c>
      <c r="K65" s="2">
        <f t="shared" si="22"/>
        <v>0</v>
      </c>
      <c r="L65" s="2">
        <f t="shared" si="22"/>
        <v>365.96</v>
      </c>
      <c r="M65" s="2">
        <f t="shared" si="22"/>
        <v>0</v>
      </c>
      <c r="N65" s="2">
        <f t="shared" si="22"/>
        <v>0</v>
      </c>
      <c r="O65" s="2">
        <f t="shared" si="22"/>
        <v>0</v>
      </c>
      <c r="P65" s="2">
        <f t="shared" si="22"/>
        <v>1000</v>
      </c>
      <c r="Q65" s="2">
        <f t="shared" ref="Q65:T65" si="23">ROUND(SUM(Q62:Q64),5)</f>
        <v>1000</v>
      </c>
      <c r="R65" s="2">
        <f t="shared" si="23"/>
        <v>1000</v>
      </c>
      <c r="S65" s="2">
        <f t="shared" si="23"/>
        <v>10615.96</v>
      </c>
      <c r="T65" s="78">
        <f t="shared" si="23"/>
        <v>11400</v>
      </c>
    </row>
    <row r="66" spans="1:20" x14ac:dyDescent="0.25">
      <c r="A66" s="1"/>
      <c r="B66" s="1"/>
      <c r="C66" s="1"/>
      <c r="D66" s="1"/>
      <c r="E66" s="1" t="s">
        <v>62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7"/>
    </row>
    <row r="67" spans="1:20" ht="15.75" thickBot="1" x14ac:dyDescent="0.3">
      <c r="A67" s="1"/>
      <c r="B67" s="1"/>
      <c r="C67" s="1"/>
      <c r="D67" s="1"/>
      <c r="E67" s="1"/>
      <c r="F67" s="1" t="s">
        <v>63</v>
      </c>
      <c r="G67" s="3">
        <v>6514.44</v>
      </c>
      <c r="H67" s="3">
        <v>6546.67</v>
      </c>
      <c r="I67" s="3">
        <v>6514.44</v>
      </c>
      <c r="J67" s="3">
        <v>6572.74</v>
      </c>
      <c r="K67" s="3">
        <v>6572.74</v>
      </c>
      <c r="L67" s="3">
        <v>6572.69</v>
      </c>
      <c r="M67" s="3">
        <v>8039.54</v>
      </c>
      <c r="N67" s="3">
        <v>9506.34</v>
      </c>
      <c r="O67" s="3">
        <v>9506.34</v>
      </c>
      <c r="P67" s="3">
        <v>9506.34</v>
      </c>
      <c r="Q67" s="3">
        <v>9506.34</v>
      </c>
      <c r="R67" s="3">
        <v>0</v>
      </c>
      <c r="S67" s="2">
        <f>ROUND(SUM(G67:R67),5)</f>
        <v>85358.62</v>
      </c>
      <c r="T67" s="77">
        <f>0.0484*T5</f>
        <v>84481.090008198298</v>
      </c>
    </row>
    <row r="68" spans="1:20" x14ac:dyDescent="0.25">
      <c r="A68" s="1"/>
      <c r="B68" s="1"/>
      <c r="C68" s="1"/>
      <c r="D68" s="1"/>
      <c r="E68" s="1" t="s">
        <v>64</v>
      </c>
      <c r="F68" s="1"/>
      <c r="G68" s="2">
        <f t="shared" ref="G68:P68" si="24">ROUND(SUM(G66:G67),5)</f>
        <v>6514.44</v>
      </c>
      <c r="H68" s="2">
        <f t="shared" si="24"/>
        <v>6546.67</v>
      </c>
      <c r="I68" s="2">
        <f t="shared" si="24"/>
        <v>6514.44</v>
      </c>
      <c r="J68" s="2">
        <f t="shared" si="24"/>
        <v>6572.74</v>
      </c>
      <c r="K68" s="2">
        <f t="shared" si="24"/>
        <v>6572.74</v>
      </c>
      <c r="L68" s="2">
        <f t="shared" si="24"/>
        <v>6572.69</v>
      </c>
      <c r="M68" s="2">
        <f t="shared" si="24"/>
        <v>8039.54</v>
      </c>
      <c r="N68" s="2">
        <f t="shared" si="24"/>
        <v>9506.34</v>
      </c>
      <c r="O68" s="2">
        <f t="shared" si="24"/>
        <v>9506.34</v>
      </c>
      <c r="P68" s="2">
        <f t="shared" si="24"/>
        <v>9506.34</v>
      </c>
      <c r="Q68" s="2">
        <f t="shared" ref="Q68:T68" si="25">ROUND(SUM(Q66:Q67),5)</f>
        <v>9506.34</v>
      </c>
      <c r="R68" s="2">
        <f t="shared" si="25"/>
        <v>0</v>
      </c>
      <c r="S68" s="2">
        <f t="shared" si="25"/>
        <v>85358.62</v>
      </c>
      <c r="T68" s="78">
        <f t="shared" si="25"/>
        <v>84481.09001</v>
      </c>
    </row>
    <row r="69" spans="1:20" x14ac:dyDescent="0.25">
      <c r="A69" s="1"/>
      <c r="B69" s="1"/>
      <c r="C69" s="1"/>
      <c r="D69" s="1"/>
      <c r="E69" s="1" t="s">
        <v>65</v>
      </c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7"/>
    </row>
    <row r="70" spans="1:20" x14ac:dyDescent="0.25">
      <c r="A70" s="1"/>
      <c r="B70" s="1"/>
      <c r="C70" s="1"/>
      <c r="D70" s="1"/>
      <c r="E70" s="1"/>
      <c r="F70" s="1" t="s">
        <v>66</v>
      </c>
      <c r="G70" s="2">
        <v>6437.5</v>
      </c>
      <c r="H70" s="2">
        <v>6759.38</v>
      </c>
      <c r="I70" s="2">
        <v>6759.38</v>
      </c>
      <c r="J70" s="2">
        <v>6759.38</v>
      </c>
      <c r="K70" s="2">
        <v>6759.38</v>
      </c>
      <c r="L70" s="2">
        <v>6759.38</v>
      </c>
      <c r="M70" s="2">
        <v>6759.38</v>
      </c>
      <c r="N70" s="2">
        <v>6759.38</v>
      </c>
      <c r="O70" s="2">
        <v>6759.38</v>
      </c>
      <c r="P70" s="2">
        <v>6759.38</v>
      </c>
      <c r="Q70" s="2">
        <v>6759.38</v>
      </c>
      <c r="R70" s="2">
        <v>6759.38</v>
      </c>
      <c r="S70" s="2">
        <f t="shared" ref="S70:S85" si="26">ROUND(SUM(G70:R70),5)</f>
        <v>80790.679999999993</v>
      </c>
      <c r="T70" s="77">
        <f>payroll!M26</f>
        <v>80000</v>
      </c>
    </row>
    <row r="71" spans="1:20" x14ac:dyDescent="0.25">
      <c r="A71" s="1"/>
      <c r="B71" s="1"/>
      <c r="C71" s="1"/>
      <c r="D71" s="1"/>
      <c r="E71" s="1"/>
      <c r="F71" s="1" t="s">
        <v>67</v>
      </c>
      <c r="G71" s="2">
        <v>8039.84</v>
      </c>
      <c r="H71" s="2">
        <v>8607.02</v>
      </c>
      <c r="I71" s="2">
        <v>8607.02</v>
      </c>
      <c r="J71" s="2">
        <v>8607.02</v>
      </c>
      <c r="K71" s="2">
        <v>8607.02</v>
      </c>
      <c r="L71" s="2">
        <v>8607.02</v>
      </c>
      <c r="M71" s="2">
        <v>8607.02</v>
      </c>
      <c r="N71" s="2">
        <v>8607.02</v>
      </c>
      <c r="O71" s="2">
        <v>8607.02</v>
      </c>
      <c r="P71" s="2">
        <v>8607.02</v>
      </c>
      <c r="Q71" s="2">
        <v>8607.02</v>
      </c>
      <c r="R71" s="2">
        <v>8607.02</v>
      </c>
      <c r="S71" s="2">
        <f t="shared" si="26"/>
        <v>102717.06</v>
      </c>
      <c r="T71" s="77">
        <f>payroll!N26</f>
        <v>119000</v>
      </c>
    </row>
    <row r="72" spans="1:20" x14ac:dyDescent="0.25">
      <c r="A72" s="1"/>
      <c r="B72" s="1"/>
      <c r="C72" s="1"/>
      <c r="D72" s="1"/>
      <c r="E72" s="1"/>
      <c r="F72" s="1" t="s">
        <v>68</v>
      </c>
      <c r="G72" s="2">
        <v>897.62</v>
      </c>
      <c r="H72" s="2">
        <v>952.72</v>
      </c>
      <c r="I72" s="2">
        <v>952.72</v>
      </c>
      <c r="J72" s="2">
        <v>952.72</v>
      </c>
      <c r="K72" s="2">
        <v>952.72</v>
      </c>
      <c r="L72" s="2">
        <v>952.72</v>
      </c>
      <c r="M72" s="2">
        <v>952.72</v>
      </c>
      <c r="N72" s="2">
        <v>952.72</v>
      </c>
      <c r="O72" s="2">
        <v>952.72</v>
      </c>
      <c r="P72" s="2">
        <v>952.72</v>
      </c>
      <c r="Q72" s="2">
        <v>952.72</v>
      </c>
      <c r="R72" s="2">
        <v>952.72</v>
      </c>
      <c r="S72" s="2">
        <f t="shared" si="26"/>
        <v>11377.54</v>
      </c>
      <c r="T72" s="77">
        <f>payroll!M36</f>
        <v>12338</v>
      </c>
    </row>
    <row r="73" spans="1:20" x14ac:dyDescent="0.25">
      <c r="A73" s="1"/>
      <c r="B73" s="1"/>
      <c r="C73" s="1"/>
      <c r="D73" s="1"/>
      <c r="E73" s="1"/>
      <c r="F73" s="1" t="s">
        <v>69</v>
      </c>
      <c r="G73" s="2">
        <v>925.26</v>
      </c>
      <c r="H73" s="2">
        <v>1042.47</v>
      </c>
      <c r="I73" s="2">
        <v>-454.08</v>
      </c>
      <c r="J73" s="2">
        <v>-685.95</v>
      </c>
      <c r="K73" s="2">
        <v>1737.44</v>
      </c>
      <c r="L73" s="2">
        <v>-64.400000000000006</v>
      </c>
      <c r="M73" s="2">
        <v>1139.1400000000001</v>
      </c>
      <c r="N73" s="2">
        <v>1551.37</v>
      </c>
      <c r="O73" s="2">
        <v>1540.32</v>
      </c>
      <c r="P73" s="2">
        <v>3401.74</v>
      </c>
      <c r="Q73" s="2">
        <v>3401.74</v>
      </c>
      <c r="R73" s="2">
        <v>3401.74</v>
      </c>
      <c r="S73" s="2">
        <f t="shared" si="26"/>
        <v>16936.79</v>
      </c>
      <c r="T73" s="77">
        <f>S73*1.15</f>
        <v>19477.308499999999</v>
      </c>
    </row>
    <row r="74" spans="1:20" x14ac:dyDescent="0.25">
      <c r="A74" s="1"/>
      <c r="B74" s="1"/>
      <c r="C74" s="1"/>
      <c r="D74" s="1"/>
      <c r="E74" s="1"/>
      <c r="F74" s="1" t="s">
        <v>70</v>
      </c>
      <c r="G74" s="2">
        <v>209.92</v>
      </c>
      <c r="H74" s="2">
        <v>222.82</v>
      </c>
      <c r="I74" s="2">
        <v>222.82</v>
      </c>
      <c r="J74" s="2">
        <v>222.82</v>
      </c>
      <c r="K74" s="2">
        <v>222.82</v>
      </c>
      <c r="L74" s="2">
        <v>222.97</v>
      </c>
      <c r="M74" s="2">
        <v>222.97</v>
      </c>
      <c r="N74" s="2">
        <v>222.97</v>
      </c>
      <c r="O74" s="2">
        <v>222.97</v>
      </c>
      <c r="P74" s="2">
        <v>222.82</v>
      </c>
      <c r="Q74" s="2">
        <v>222.82</v>
      </c>
      <c r="R74" s="2">
        <v>222.82</v>
      </c>
      <c r="S74" s="2">
        <f t="shared" si="26"/>
        <v>2661.54</v>
      </c>
      <c r="T74" s="77">
        <f>payroll!M37</f>
        <v>2885.5</v>
      </c>
    </row>
    <row r="75" spans="1:20" x14ac:dyDescent="0.25">
      <c r="A75" s="1"/>
      <c r="B75" s="1"/>
      <c r="C75" s="1"/>
      <c r="D75" s="1"/>
      <c r="E75" s="1"/>
      <c r="F75" s="1" t="s">
        <v>71</v>
      </c>
      <c r="G75" s="2">
        <v>0</v>
      </c>
      <c r="H75" s="2">
        <v>0</v>
      </c>
      <c r="I75" s="2">
        <v>34.049999999999997</v>
      </c>
      <c r="J75" s="2">
        <v>32.28</v>
      </c>
      <c r="K75" s="2">
        <v>8.1199999999999992</v>
      </c>
      <c r="L75" s="2">
        <v>55</v>
      </c>
      <c r="M75" s="2">
        <v>96.62</v>
      </c>
      <c r="N75" s="2">
        <v>68.83</v>
      </c>
      <c r="O75" s="2">
        <v>3.12</v>
      </c>
      <c r="P75" s="2">
        <v>5.0599999999999996</v>
      </c>
      <c r="Q75" s="2">
        <v>5.0599999999999996</v>
      </c>
      <c r="R75" s="2">
        <v>5.0599999999999996</v>
      </c>
      <c r="S75" s="2">
        <f t="shared" si="26"/>
        <v>313.2</v>
      </c>
      <c r="T75" s="77">
        <f>payroll!M38</f>
        <v>1400</v>
      </c>
    </row>
    <row r="76" spans="1:20" x14ac:dyDescent="0.25">
      <c r="A76" s="1"/>
      <c r="B76" s="1"/>
      <c r="C76" s="1"/>
      <c r="D76" s="1"/>
      <c r="E76" s="1"/>
      <c r="F76" s="1" t="s">
        <v>72</v>
      </c>
      <c r="G76" s="2">
        <v>257.5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f t="shared" si="26"/>
        <v>257.5</v>
      </c>
      <c r="T76" s="77">
        <v>500</v>
      </c>
    </row>
    <row r="77" spans="1:20" x14ac:dyDescent="0.25">
      <c r="A77" s="1"/>
      <c r="B77" s="1"/>
      <c r="C77" s="1"/>
      <c r="D77" s="1"/>
      <c r="E77" s="1"/>
      <c r="F77" s="1" t="s">
        <v>73</v>
      </c>
      <c r="G77" s="2">
        <v>0</v>
      </c>
      <c r="H77" s="2">
        <v>0</v>
      </c>
      <c r="I77" s="2">
        <v>0</v>
      </c>
      <c r="J77" s="2">
        <v>328.97</v>
      </c>
      <c r="K77" s="2">
        <v>0</v>
      </c>
      <c r="L77" s="2">
        <v>992.53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f t="shared" si="26"/>
        <v>1321.5</v>
      </c>
      <c r="T77" s="77">
        <v>1500</v>
      </c>
    </row>
    <row r="78" spans="1:20" x14ac:dyDescent="0.25">
      <c r="A78" s="1"/>
      <c r="B78" s="1"/>
      <c r="C78" s="1"/>
      <c r="D78" s="1"/>
      <c r="E78" s="1"/>
      <c r="F78" s="1" t="s">
        <v>74</v>
      </c>
      <c r="G78" s="2">
        <v>551.41999999999996</v>
      </c>
      <c r="H78" s="2">
        <v>256.77999999999997</v>
      </c>
      <c r="I78" s="2">
        <v>495.83</v>
      </c>
      <c r="J78" s="2">
        <v>258.95999999999998</v>
      </c>
      <c r="K78" s="2">
        <v>272.12</v>
      </c>
      <c r="L78" s="2">
        <v>416.63</v>
      </c>
      <c r="M78" s="2">
        <v>290.02</v>
      </c>
      <c r="N78" s="2">
        <v>188.94</v>
      </c>
      <c r="O78" s="2">
        <v>444.49</v>
      </c>
      <c r="P78" s="2">
        <v>281.69</v>
      </c>
      <c r="Q78" s="2">
        <v>281.69</v>
      </c>
      <c r="R78" s="2">
        <v>281.69</v>
      </c>
      <c r="S78" s="2">
        <f t="shared" si="26"/>
        <v>4020.26</v>
      </c>
      <c r="T78" s="77">
        <v>4250</v>
      </c>
    </row>
    <row r="79" spans="1:20" x14ac:dyDescent="0.25">
      <c r="A79" s="1"/>
      <c r="B79" s="1"/>
      <c r="C79" s="1"/>
      <c r="D79" s="1"/>
      <c r="E79" s="1"/>
      <c r="F79" s="1" t="s">
        <v>75</v>
      </c>
      <c r="G79" s="2">
        <v>589.91999999999996</v>
      </c>
      <c r="H79" s="2">
        <v>357.95</v>
      </c>
      <c r="I79" s="2">
        <v>792.32</v>
      </c>
      <c r="J79" s="2">
        <v>210.02</v>
      </c>
      <c r="K79" s="2">
        <v>428.63</v>
      </c>
      <c r="L79" s="2">
        <v>644.38</v>
      </c>
      <c r="M79" s="2">
        <v>425.76</v>
      </c>
      <c r="N79" s="2">
        <v>491.28</v>
      </c>
      <c r="O79" s="2">
        <v>655.86</v>
      </c>
      <c r="P79" s="2">
        <v>218.62</v>
      </c>
      <c r="Q79" s="2">
        <v>218.62</v>
      </c>
      <c r="R79" s="2">
        <v>218.62</v>
      </c>
      <c r="S79" s="2">
        <f t="shared" si="26"/>
        <v>5251.98</v>
      </c>
      <c r="T79" s="77">
        <v>5600</v>
      </c>
    </row>
    <row r="80" spans="1:20" x14ac:dyDescent="0.25">
      <c r="A80" s="1"/>
      <c r="B80" s="1"/>
      <c r="C80" s="1"/>
      <c r="D80" s="1"/>
      <c r="E80" s="1"/>
      <c r="F80" s="1" t="s">
        <v>76</v>
      </c>
      <c r="G80" s="2">
        <v>90.95</v>
      </c>
      <c r="H80" s="2">
        <v>376.2</v>
      </c>
      <c r="I80" s="2">
        <v>385.36</v>
      </c>
      <c r="J80" s="2">
        <v>92.77</v>
      </c>
      <c r="K80" s="2">
        <v>88.25</v>
      </c>
      <c r="L80" s="2">
        <v>19.239999999999998</v>
      </c>
      <c r="M80" s="2">
        <v>0</v>
      </c>
      <c r="N80" s="2">
        <v>0</v>
      </c>
      <c r="O80" s="2">
        <v>151.97999999999999</v>
      </c>
      <c r="P80" s="2">
        <v>146.75</v>
      </c>
      <c r="Q80" s="2">
        <v>146.75</v>
      </c>
      <c r="R80" s="2">
        <v>146.75</v>
      </c>
      <c r="S80" s="2">
        <f t="shared" si="26"/>
        <v>1645</v>
      </c>
      <c r="T80" s="77">
        <v>1750</v>
      </c>
    </row>
    <row r="81" spans="1:20" x14ac:dyDescent="0.25">
      <c r="A81" s="1"/>
      <c r="B81" s="1"/>
      <c r="C81" s="1"/>
      <c r="D81" s="1"/>
      <c r="E81" s="1"/>
      <c r="F81" s="1" t="s">
        <v>77</v>
      </c>
      <c r="G81" s="2">
        <v>385</v>
      </c>
      <c r="H81" s="2">
        <v>1197.5999999999999</v>
      </c>
      <c r="I81" s="2">
        <v>59.88</v>
      </c>
      <c r="J81" s="2">
        <v>0</v>
      </c>
      <c r="K81" s="2">
        <v>0</v>
      </c>
      <c r="L81" s="2">
        <v>0</v>
      </c>
      <c r="M81" s="2">
        <v>446.25</v>
      </c>
      <c r="N81" s="2">
        <v>5279.49</v>
      </c>
      <c r="O81" s="2">
        <v>0</v>
      </c>
      <c r="P81" s="2">
        <v>0</v>
      </c>
      <c r="Q81" s="2">
        <v>0</v>
      </c>
      <c r="R81" s="2">
        <v>0</v>
      </c>
      <c r="S81" s="2">
        <f t="shared" si="26"/>
        <v>7368.22</v>
      </c>
      <c r="T81" s="77">
        <v>8000</v>
      </c>
    </row>
    <row r="82" spans="1:20" x14ac:dyDescent="0.25">
      <c r="A82" s="1"/>
      <c r="B82" s="1"/>
      <c r="C82" s="1"/>
      <c r="D82" s="1"/>
      <c r="E82" s="1"/>
      <c r="F82" s="1" t="s">
        <v>78</v>
      </c>
      <c r="G82" s="2">
        <v>487.54</v>
      </c>
      <c r="H82" s="2">
        <v>525.04</v>
      </c>
      <c r="I82" s="2">
        <v>525.04</v>
      </c>
      <c r="J82" s="2">
        <v>525.04</v>
      </c>
      <c r="K82" s="2">
        <v>300.04000000000002</v>
      </c>
      <c r="L82" s="2">
        <v>525.04</v>
      </c>
      <c r="M82" s="2">
        <v>525.04</v>
      </c>
      <c r="N82" s="2">
        <v>525.04</v>
      </c>
      <c r="O82" s="2">
        <v>525.04</v>
      </c>
      <c r="P82" s="2">
        <v>525.04</v>
      </c>
      <c r="Q82" s="2">
        <v>525.04</v>
      </c>
      <c r="R82" s="2">
        <v>525.04</v>
      </c>
      <c r="S82" s="2">
        <f t="shared" si="26"/>
        <v>6037.98</v>
      </c>
      <c r="T82" s="77">
        <v>0</v>
      </c>
    </row>
    <row r="83" spans="1:20" x14ac:dyDescent="0.25">
      <c r="A83" s="1"/>
      <c r="B83" s="1"/>
      <c r="C83" s="1"/>
      <c r="D83" s="1"/>
      <c r="E83" s="1"/>
      <c r="F83" s="1" t="s">
        <v>79</v>
      </c>
      <c r="G83" s="2">
        <v>0</v>
      </c>
      <c r="H83" s="2">
        <v>0.62</v>
      </c>
      <c r="I83" s="2">
        <v>0</v>
      </c>
      <c r="J83" s="2">
        <v>0</v>
      </c>
      <c r="K83" s="2">
        <v>0.31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f t="shared" si="26"/>
        <v>0.93</v>
      </c>
      <c r="T83" s="77">
        <v>100</v>
      </c>
    </row>
    <row r="84" spans="1:20" x14ac:dyDescent="0.25">
      <c r="A84" s="1"/>
      <c r="B84" s="1"/>
      <c r="C84" s="1"/>
      <c r="D84" s="1"/>
      <c r="E84" s="1"/>
      <c r="F84" s="1" t="s">
        <v>80</v>
      </c>
      <c r="G84" s="2">
        <v>0</v>
      </c>
      <c r="H84" s="2">
        <v>0</v>
      </c>
      <c r="I84" s="2">
        <v>0</v>
      </c>
      <c r="J84" s="2">
        <v>69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f t="shared" si="26"/>
        <v>69</v>
      </c>
      <c r="T84" s="77">
        <v>100</v>
      </c>
    </row>
    <row r="85" spans="1:20" ht="15.75" thickBot="1" x14ac:dyDescent="0.3">
      <c r="A85" s="1"/>
      <c r="B85" s="1"/>
      <c r="C85" s="1"/>
      <c r="D85" s="1"/>
      <c r="E85" s="1"/>
      <c r="F85" s="1" t="s">
        <v>81</v>
      </c>
      <c r="G85" s="3">
        <v>0</v>
      </c>
      <c r="H85" s="3">
        <v>0</v>
      </c>
      <c r="I85" s="3">
        <v>0</v>
      </c>
      <c r="J85" s="3">
        <v>-45</v>
      </c>
      <c r="K85" s="3">
        <v>-80.72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2">
        <f t="shared" si="26"/>
        <v>-125.72</v>
      </c>
      <c r="T85" s="77">
        <v>0</v>
      </c>
    </row>
    <row r="86" spans="1:20" x14ac:dyDescent="0.25">
      <c r="A86" s="1"/>
      <c r="B86" s="1"/>
      <c r="C86" s="1"/>
      <c r="D86" s="1"/>
      <c r="E86" s="1" t="s">
        <v>82</v>
      </c>
      <c r="F86" s="1"/>
      <c r="G86" s="2">
        <f t="shared" ref="G86:P86" si="27">ROUND(SUM(G69:G85),5)</f>
        <v>18872.47</v>
      </c>
      <c r="H86" s="2">
        <f t="shared" si="27"/>
        <v>20298.599999999999</v>
      </c>
      <c r="I86" s="2">
        <f t="shared" si="27"/>
        <v>18380.34</v>
      </c>
      <c r="J86" s="2">
        <f t="shared" si="27"/>
        <v>17328.03</v>
      </c>
      <c r="K86" s="2">
        <f t="shared" si="27"/>
        <v>19296.13</v>
      </c>
      <c r="L86" s="2">
        <f t="shared" si="27"/>
        <v>19130.509999999998</v>
      </c>
      <c r="M86" s="2">
        <f t="shared" si="27"/>
        <v>19464.919999999998</v>
      </c>
      <c r="N86" s="2">
        <f t="shared" si="27"/>
        <v>24647.040000000001</v>
      </c>
      <c r="O86" s="2">
        <f t="shared" si="27"/>
        <v>19862.900000000001</v>
      </c>
      <c r="P86" s="2">
        <f t="shared" si="27"/>
        <v>21120.84</v>
      </c>
      <c r="Q86" s="2">
        <f t="shared" ref="Q86:T86" si="28">ROUND(SUM(Q69:Q85),5)</f>
        <v>21120.84</v>
      </c>
      <c r="R86" s="2">
        <f t="shared" si="28"/>
        <v>21120.84</v>
      </c>
      <c r="S86" s="2">
        <f t="shared" si="28"/>
        <v>240643.46</v>
      </c>
      <c r="T86" s="78">
        <f t="shared" si="28"/>
        <v>256900.80850000001</v>
      </c>
    </row>
    <row r="87" spans="1:20" x14ac:dyDescent="0.25">
      <c r="A87" s="1"/>
      <c r="B87" s="1"/>
      <c r="C87" s="1"/>
      <c r="D87" s="1"/>
      <c r="E87" s="1" t="s">
        <v>83</v>
      </c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7"/>
    </row>
    <row r="88" spans="1:20" ht="15.75" thickBot="1" x14ac:dyDescent="0.3">
      <c r="A88" s="1"/>
      <c r="B88" s="1"/>
      <c r="C88" s="1"/>
      <c r="D88" s="1"/>
      <c r="E88" s="1"/>
      <c r="F88" s="1" t="s">
        <v>84</v>
      </c>
      <c r="G88" s="3">
        <v>0</v>
      </c>
      <c r="H88" s="3">
        <v>0</v>
      </c>
      <c r="I88" s="3">
        <v>0</v>
      </c>
      <c r="J88" s="3">
        <v>0</v>
      </c>
      <c r="K88" s="3">
        <v>118915.25</v>
      </c>
      <c r="L88" s="3">
        <v>23783.03</v>
      </c>
      <c r="M88" s="3">
        <v>24332.799999999999</v>
      </c>
      <c r="N88" s="3">
        <v>24332.799999999999</v>
      </c>
      <c r="O88" s="3">
        <v>24332.799999999999</v>
      </c>
      <c r="P88" s="3">
        <v>24332.799999999999</v>
      </c>
      <c r="Q88" s="3">
        <v>37454.370000000003</v>
      </c>
      <c r="R88" s="3">
        <v>24332.799999999999</v>
      </c>
      <c r="S88" s="2">
        <f>ROUND(SUM(G88:R88),5)</f>
        <v>301816.65000000002</v>
      </c>
      <c r="T88" s="77">
        <f>27132.07*12</f>
        <v>325584.83999999997</v>
      </c>
    </row>
    <row r="89" spans="1:20" x14ac:dyDescent="0.25">
      <c r="A89" s="1"/>
      <c r="B89" s="1"/>
      <c r="C89" s="1"/>
      <c r="D89" s="1"/>
      <c r="E89" s="1" t="s">
        <v>85</v>
      </c>
      <c r="F89" s="1"/>
      <c r="G89" s="2">
        <f t="shared" ref="G89:P89" si="29">ROUND(SUM(G87:G88),5)</f>
        <v>0</v>
      </c>
      <c r="H89" s="2">
        <f t="shared" si="29"/>
        <v>0</v>
      </c>
      <c r="I89" s="2">
        <f t="shared" si="29"/>
        <v>0</v>
      </c>
      <c r="J89" s="2">
        <f t="shared" si="29"/>
        <v>0</v>
      </c>
      <c r="K89" s="2">
        <f t="shared" si="29"/>
        <v>118915.25</v>
      </c>
      <c r="L89" s="2">
        <f t="shared" si="29"/>
        <v>23783.03</v>
      </c>
      <c r="M89" s="2">
        <f t="shared" si="29"/>
        <v>24332.799999999999</v>
      </c>
      <c r="N89" s="2">
        <f t="shared" si="29"/>
        <v>24332.799999999999</v>
      </c>
      <c r="O89" s="2">
        <f t="shared" si="29"/>
        <v>24332.799999999999</v>
      </c>
      <c r="P89" s="2">
        <f t="shared" si="29"/>
        <v>24332.799999999999</v>
      </c>
      <c r="Q89" s="2">
        <f t="shared" ref="Q89:T89" si="30">ROUND(SUM(Q87:Q88),5)</f>
        <v>37454.370000000003</v>
      </c>
      <c r="R89" s="2">
        <f t="shared" si="30"/>
        <v>24332.799999999999</v>
      </c>
      <c r="S89" s="2">
        <f t="shared" si="30"/>
        <v>301816.65000000002</v>
      </c>
      <c r="T89" s="81">
        <f t="shared" si="30"/>
        <v>325584.84000000003</v>
      </c>
    </row>
    <row r="90" spans="1:20" x14ac:dyDescent="0.25">
      <c r="A90" s="1"/>
      <c r="B90" s="1"/>
      <c r="C90" s="1"/>
      <c r="D90" s="1"/>
      <c r="E90" s="1" t="s">
        <v>86</v>
      </c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7"/>
    </row>
    <row r="91" spans="1:20" ht="15.75" thickBot="1" x14ac:dyDescent="0.3">
      <c r="A91" s="1"/>
      <c r="B91" s="1"/>
      <c r="C91" s="1"/>
      <c r="D91" s="1"/>
      <c r="E91" s="1"/>
      <c r="F91" s="1" t="s">
        <v>87</v>
      </c>
      <c r="G91" s="3">
        <v>1870.58</v>
      </c>
      <c r="H91" s="3">
        <v>1870.58</v>
      </c>
      <c r="I91" s="3">
        <v>1870.58</v>
      </c>
      <c r="J91" s="3">
        <v>3539.78</v>
      </c>
      <c r="K91" s="3">
        <v>0</v>
      </c>
      <c r="L91" s="3">
        <v>1870.58</v>
      </c>
      <c r="M91" s="3">
        <v>3741.16</v>
      </c>
      <c r="N91" s="3">
        <v>2198.39</v>
      </c>
      <c r="O91" s="3">
        <v>2198.39</v>
      </c>
      <c r="P91" s="3">
        <v>0</v>
      </c>
      <c r="Q91" s="3">
        <v>0</v>
      </c>
      <c r="R91" s="3">
        <v>0</v>
      </c>
      <c r="S91" s="2">
        <f t="shared" ref="S91" si="31">ROUND(SUM(G91:R91),5)</f>
        <v>19160.04</v>
      </c>
      <c r="T91" s="77">
        <f>230*110</f>
        <v>25300</v>
      </c>
    </row>
    <row r="92" spans="1:20" x14ac:dyDescent="0.25">
      <c r="A92" s="1"/>
      <c r="B92" s="1"/>
      <c r="C92" s="1"/>
      <c r="D92" s="1"/>
      <c r="E92" s="1" t="s">
        <v>88</v>
      </c>
      <c r="F92" s="1"/>
      <c r="G92" s="2">
        <f t="shared" ref="G92:P92" si="32">ROUND(SUM(G90:G91),5)</f>
        <v>1870.58</v>
      </c>
      <c r="H92" s="2">
        <f t="shared" si="32"/>
        <v>1870.58</v>
      </c>
      <c r="I92" s="2">
        <f t="shared" si="32"/>
        <v>1870.58</v>
      </c>
      <c r="J92" s="2">
        <f t="shared" si="32"/>
        <v>3539.78</v>
      </c>
      <c r="K92" s="2">
        <f t="shared" si="32"/>
        <v>0</v>
      </c>
      <c r="L92" s="2">
        <f t="shared" si="32"/>
        <v>1870.58</v>
      </c>
      <c r="M92" s="2">
        <f t="shared" si="32"/>
        <v>3741.16</v>
      </c>
      <c r="N92" s="2">
        <f t="shared" si="32"/>
        <v>2198.39</v>
      </c>
      <c r="O92" s="2">
        <f t="shared" si="32"/>
        <v>2198.39</v>
      </c>
      <c r="P92" s="2">
        <f t="shared" si="32"/>
        <v>0</v>
      </c>
      <c r="Q92" s="2">
        <f t="shared" ref="Q92:T92" si="33">ROUND(SUM(Q90:Q91),5)</f>
        <v>0</v>
      </c>
      <c r="R92" s="2">
        <f t="shared" si="33"/>
        <v>0</v>
      </c>
      <c r="S92" s="2">
        <f t="shared" si="33"/>
        <v>19160.04</v>
      </c>
      <c r="T92" s="78">
        <f t="shared" si="33"/>
        <v>25300</v>
      </c>
    </row>
    <row r="93" spans="1:20" x14ac:dyDescent="0.25">
      <c r="A93" s="1"/>
      <c r="B93" s="1"/>
      <c r="C93" s="1"/>
      <c r="D93" s="1"/>
      <c r="E93" s="1" t="s">
        <v>89</v>
      </c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7"/>
    </row>
    <row r="94" spans="1:20" ht="15.75" thickBot="1" x14ac:dyDescent="0.3">
      <c r="A94" s="1"/>
      <c r="B94" s="1"/>
      <c r="C94" s="1"/>
      <c r="D94" s="1"/>
      <c r="E94" s="1"/>
      <c r="F94" s="1" t="s">
        <v>90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100</v>
      </c>
      <c r="O94" s="3">
        <v>0</v>
      </c>
      <c r="P94" s="3">
        <v>0</v>
      </c>
      <c r="Q94" s="3">
        <v>0</v>
      </c>
      <c r="R94" s="3">
        <v>0</v>
      </c>
      <c r="S94" s="2">
        <f t="shared" ref="S94" si="34">ROUND(SUM(G94:R94),5)</f>
        <v>100</v>
      </c>
      <c r="T94" s="77">
        <v>100</v>
      </c>
    </row>
    <row r="95" spans="1:20" x14ac:dyDescent="0.25">
      <c r="A95" s="1"/>
      <c r="B95" s="1"/>
      <c r="C95" s="1"/>
      <c r="D95" s="1"/>
      <c r="E95" s="1" t="s">
        <v>91</v>
      </c>
      <c r="F95" s="1"/>
      <c r="G95" s="2">
        <f t="shared" ref="G95:P95" si="35">ROUND(SUM(G93:G94),5)</f>
        <v>0</v>
      </c>
      <c r="H95" s="2">
        <f t="shared" si="35"/>
        <v>0</v>
      </c>
      <c r="I95" s="2">
        <f t="shared" si="35"/>
        <v>0</v>
      </c>
      <c r="J95" s="2">
        <f t="shared" si="35"/>
        <v>0</v>
      </c>
      <c r="K95" s="2">
        <f t="shared" si="35"/>
        <v>0</v>
      </c>
      <c r="L95" s="2">
        <f t="shared" si="35"/>
        <v>0</v>
      </c>
      <c r="M95" s="2">
        <f t="shared" si="35"/>
        <v>0</v>
      </c>
      <c r="N95" s="2">
        <f t="shared" si="35"/>
        <v>100</v>
      </c>
      <c r="O95" s="2">
        <f t="shared" si="35"/>
        <v>0</v>
      </c>
      <c r="P95" s="2">
        <f t="shared" si="35"/>
        <v>0</v>
      </c>
      <c r="Q95" s="2">
        <f t="shared" ref="Q95:T95" si="36">ROUND(SUM(Q93:Q94),5)</f>
        <v>0</v>
      </c>
      <c r="R95" s="2">
        <f t="shared" si="36"/>
        <v>0</v>
      </c>
      <c r="S95" s="2">
        <f t="shared" si="36"/>
        <v>100</v>
      </c>
      <c r="T95" s="78">
        <f t="shared" si="36"/>
        <v>100</v>
      </c>
    </row>
    <row r="96" spans="1:20" x14ac:dyDescent="0.25">
      <c r="A96" s="1"/>
      <c r="B96" s="1"/>
      <c r="C96" s="1"/>
      <c r="D96" s="1"/>
      <c r="E96" s="1" t="s">
        <v>92</v>
      </c>
      <c r="F96" s="1"/>
      <c r="G96" s="2">
        <v>0</v>
      </c>
      <c r="H96" s="2">
        <v>24300</v>
      </c>
      <c r="I96" s="2">
        <v>19800</v>
      </c>
      <c r="J96" s="2">
        <v>19800</v>
      </c>
      <c r="K96" s="2">
        <v>19800</v>
      </c>
      <c r="L96" s="2">
        <v>19800</v>
      </c>
      <c r="M96" s="2">
        <v>19800</v>
      </c>
      <c r="N96" s="2">
        <v>20283.509999999998</v>
      </c>
      <c r="O96" s="2">
        <v>19800</v>
      </c>
      <c r="P96" s="2">
        <v>19800</v>
      </c>
      <c r="Q96" s="2">
        <v>19800</v>
      </c>
      <c r="R96" s="2">
        <v>0</v>
      </c>
      <c r="S96" s="2">
        <f t="shared" ref="S96" si="37">ROUND(SUM(G96:R96),5)</f>
        <v>202983.51</v>
      </c>
      <c r="T96" s="79">
        <v>140000</v>
      </c>
    </row>
    <row r="97" spans="1:20" x14ac:dyDescent="0.25">
      <c r="A97" s="1"/>
      <c r="B97" s="1"/>
      <c r="C97" s="1"/>
      <c r="D97" s="1"/>
      <c r="E97" s="1" t="s">
        <v>93</v>
      </c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7"/>
    </row>
    <row r="98" spans="1:20" x14ac:dyDescent="0.25">
      <c r="A98" s="1"/>
      <c r="B98" s="1"/>
      <c r="C98" s="1"/>
      <c r="D98" s="1"/>
      <c r="E98" s="1"/>
      <c r="F98" s="1" t="s">
        <v>94</v>
      </c>
      <c r="G98" s="2">
        <v>14.87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f t="shared" ref="S98:S106" si="38">ROUND(SUM(G98:R98),5)</f>
        <v>14.87</v>
      </c>
      <c r="T98" s="77">
        <v>0</v>
      </c>
    </row>
    <row r="99" spans="1:20" x14ac:dyDescent="0.25">
      <c r="A99" s="1"/>
      <c r="B99" s="1"/>
      <c r="C99" s="1"/>
      <c r="D99" s="1"/>
      <c r="E99" s="1"/>
      <c r="F99" s="1" t="s">
        <v>95</v>
      </c>
      <c r="G99" s="2">
        <v>0</v>
      </c>
      <c r="H99" s="2">
        <v>0</v>
      </c>
      <c r="I99" s="2">
        <v>0</v>
      </c>
      <c r="J99" s="2">
        <v>0</v>
      </c>
      <c r="K99" s="2">
        <v>336</v>
      </c>
      <c r="L99" s="2">
        <v>0</v>
      </c>
      <c r="M99" s="2">
        <v>0</v>
      </c>
      <c r="N99" s="2">
        <v>0</v>
      </c>
      <c r="O99" s="2">
        <v>337</v>
      </c>
      <c r="P99" s="2">
        <v>0</v>
      </c>
      <c r="Q99" s="2">
        <v>0</v>
      </c>
      <c r="R99" s="2">
        <v>0</v>
      </c>
      <c r="S99" s="2">
        <f t="shared" si="38"/>
        <v>673</v>
      </c>
      <c r="T99" s="77">
        <v>0</v>
      </c>
    </row>
    <row r="100" spans="1:20" x14ac:dyDescent="0.25">
      <c r="A100" s="1"/>
      <c r="B100" s="1"/>
      <c r="C100" s="1"/>
      <c r="D100" s="1"/>
      <c r="E100" s="1"/>
      <c r="F100" s="1" t="s">
        <v>96</v>
      </c>
      <c r="G100" s="2">
        <v>1439.35</v>
      </c>
      <c r="H100" s="2">
        <v>3060.89</v>
      </c>
      <c r="I100" s="2">
        <v>3081.39</v>
      </c>
      <c r="J100" s="2">
        <v>1469.89</v>
      </c>
      <c r="K100" s="2">
        <v>1469.89</v>
      </c>
      <c r="L100" s="2">
        <v>1469.89</v>
      </c>
      <c r="M100" s="2">
        <v>1469.89</v>
      </c>
      <c r="N100" s="2">
        <v>1805.89</v>
      </c>
      <c r="O100" s="2">
        <v>1469.89</v>
      </c>
      <c r="P100" s="2">
        <v>1806.89</v>
      </c>
      <c r="Q100" s="2">
        <v>1806.89</v>
      </c>
      <c r="R100" s="2">
        <v>1806.89</v>
      </c>
      <c r="S100" s="2">
        <f t="shared" si="38"/>
        <v>22157.64</v>
      </c>
      <c r="T100" s="77">
        <v>25000</v>
      </c>
    </row>
    <row r="101" spans="1:20" x14ac:dyDescent="0.25">
      <c r="A101" s="1"/>
      <c r="B101" s="1"/>
      <c r="C101" s="1"/>
      <c r="D101" s="1"/>
      <c r="E101" s="1"/>
      <c r="F101" s="1" t="s">
        <v>97</v>
      </c>
      <c r="G101" s="2">
        <v>0</v>
      </c>
      <c r="H101" s="2">
        <v>2936.24</v>
      </c>
      <c r="I101" s="2">
        <v>0</v>
      </c>
      <c r="J101" s="2">
        <v>500</v>
      </c>
      <c r="K101" s="2">
        <v>883.08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f t="shared" si="38"/>
        <v>4319.32</v>
      </c>
      <c r="T101" s="77">
        <v>5000</v>
      </c>
    </row>
    <row r="102" spans="1:20" x14ac:dyDescent="0.25">
      <c r="A102" s="1"/>
      <c r="B102" s="1"/>
      <c r="C102" s="1"/>
      <c r="D102" s="1"/>
      <c r="E102" s="1"/>
      <c r="F102" s="1" t="s">
        <v>98</v>
      </c>
      <c r="G102" s="2">
        <v>1331.42</v>
      </c>
      <c r="H102" s="2">
        <v>413.65</v>
      </c>
      <c r="I102" s="2">
        <v>4082.3</v>
      </c>
      <c r="J102" s="2">
        <v>4378.58</v>
      </c>
      <c r="K102" s="2">
        <v>4696.8</v>
      </c>
      <c r="L102" s="2">
        <v>3969.51</v>
      </c>
      <c r="M102" s="2">
        <v>5638.91</v>
      </c>
      <c r="N102" s="2">
        <v>4586.24</v>
      </c>
      <c r="O102" s="2">
        <v>4849.7</v>
      </c>
      <c r="P102" s="2">
        <v>4352.54</v>
      </c>
      <c r="Q102" s="2">
        <v>4352.54</v>
      </c>
      <c r="R102" s="2">
        <v>4352.54</v>
      </c>
      <c r="S102" s="2">
        <f t="shared" si="38"/>
        <v>47004.73</v>
      </c>
      <c r="T102" s="77">
        <v>50000</v>
      </c>
    </row>
    <row r="103" spans="1:20" x14ac:dyDescent="0.25">
      <c r="A103" s="1"/>
      <c r="B103" s="1"/>
      <c r="C103" s="1"/>
      <c r="D103" s="1"/>
      <c r="E103" s="1"/>
      <c r="F103" s="1" t="s">
        <v>99</v>
      </c>
      <c r="G103" s="2">
        <v>479.09</v>
      </c>
      <c r="H103" s="2">
        <v>479.09</v>
      </c>
      <c r="I103" s="2">
        <v>502.45</v>
      </c>
      <c r="J103" s="2">
        <v>517.91</v>
      </c>
      <c r="K103" s="2">
        <v>0</v>
      </c>
      <c r="L103" s="2">
        <v>1074.01</v>
      </c>
      <c r="M103" s="2">
        <v>565.21</v>
      </c>
      <c r="N103" s="2">
        <v>555.21</v>
      </c>
      <c r="O103" s="2">
        <v>555.21</v>
      </c>
      <c r="P103" s="2">
        <v>0</v>
      </c>
      <c r="Q103" s="2">
        <v>0</v>
      </c>
      <c r="R103" s="2">
        <v>0</v>
      </c>
      <c r="S103" s="2">
        <f t="shared" si="38"/>
        <v>4728.18</v>
      </c>
      <c r="T103" s="77">
        <v>5000</v>
      </c>
    </row>
    <row r="104" spans="1:20" x14ac:dyDescent="0.25">
      <c r="A104" s="1"/>
      <c r="B104" s="1"/>
      <c r="C104" s="1"/>
      <c r="D104" s="1"/>
      <c r="E104" s="1"/>
      <c r="F104" s="1" t="s">
        <v>100</v>
      </c>
      <c r="G104" s="2">
        <v>0</v>
      </c>
      <c r="H104" s="2">
        <v>292.72000000000003</v>
      </c>
      <c r="I104" s="2">
        <v>147.65</v>
      </c>
      <c r="J104" s="2">
        <v>148.21</v>
      </c>
      <c r="K104" s="2">
        <v>148.21</v>
      </c>
      <c r="L104" s="2">
        <v>149.88999999999999</v>
      </c>
      <c r="M104" s="2">
        <v>146.53</v>
      </c>
      <c r="N104" s="2">
        <v>290.82</v>
      </c>
      <c r="O104" s="2">
        <v>0</v>
      </c>
      <c r="P104" s="2">
        <v>291.94</v>
      </c>
      <c r="Q104" s="2">
        <v>291.94</v>
      </c>
      <c r="R104" s="2">
        <v>291.94</v>
      </c>
      <c r="S104" s="2">
        <f t="shared" si="38"/>
        <v>2199.85</v>
      </c>
      <c r="T104" s="77">
        <v>2500</v>
      </c>
    </row>
    <row r="105" spans="1:20" x14ac:dyDescent="0.25">
      <c r="A105" s="1"/>
      <c r="B105" s="1"/>
      <c r="C105" s="1"/>
      <c r="D105" s="1"/>
      <c r="E105" s="1"/>
      <c r="F105" s="1" t="s">
        <v>101</v>
      </c>
      <c r="G105" s="2">
        <v>2321.62</v>
      </c>
      <c r="H105" s="2">
        <v>2332.12</v>
      </c>
      <c r="I105" s="2">
        <v>3307.25</v>
      </c>
      <c r="J105" s="2">
        <v>3345.36</v>
      </c>
      <c r="K105" s="2">
        <v>2204.62</v>
      </c>
      <c r="L105" s="2">
        <v>2416.4499999999998</v>
      </c>
      <c r="M105" s="2">
        <v>1823.61</v>
      </c>
      <c r="N105" s="2">
        <v>2165.4</v>
      </c>
      <c r="O105" s="2">
        <v>2548.66</v>
      </c>
      <c r="P105" s="2">
        <v>1693.57</v>
      </c>
      <c r="Q105" s="2">
        <v>1693.57</v>
      </c>
      <c r="R105" s="2">
        <v>1693.57</v>
      </c>
      <c r="S105" s="2">
        <f t="shared" si="38"/>
        <v>27545.8</v>
      </c>
      <c r="T105" s="77">
        <v>30000</v>
      </c>
    </row>
    <row r="106" spans="1:20" ht="15.75" thickBot="1" x14ac:dyDescent="0.3">
      <c r="A106" s="1"/>
      <c r="B106" s="1"/>
      <c r="C106" s="1"/>
      <c r="D106" s="1"/>
      <c r="E106" s="1"/>
      <c r="F106" s="1" t="s">
        <v>102</v>
      </c>
      <c r="G106" s="3">
        <v>0</v>
      </c>
      <c r="H106" s="3">
        <v>1461.49</v>
      </c>
      <c r="I106" s="3">
        <v>3014.32</v>
      </c>
      <c r="J106" s="3">
        <v>570.21</v>
      </c>
      <c r="K106" s="3">
        <v>570.21</v>
      </c>
      <c r="L106" s="3">
        <v>599</v>
      </c>
      <c r="M106" s="3">
        <v>570.21</v>
      </c>
      <c r="N106" s="3">
        <v>425.92</v>
      </c>
      <c r="O106" s="3">
        <v>425.92</v>
      </c>
      <c r="P106" s="3">
        <v>425.92</v>
      </c>
      <c r="Q106" s="3">
        <v>425.92</v>
      </c>
      <c r="R106" s="3">
        <v>425.92</v>
      </c>
      <c r="S106" s="2">
        <f t="shared" si="38"/>
        <v>8915.0400000000009</v>
      </c>
      <c r="T106" s="77">
        <v>9000</v>
      </c>
    </row>
    <row r="107" spans="1:20" x14ac:dyDescent="0.25">
      <c r="A107" s="1"/>
      <c r="B107" s="1"/>
      <c r="C107" s="1"/>
      <c r="D107" s="1"/>
      <c r="E107" s="1" t="s">
        <v>103</v>
      </c>
      <c r="F107" s="1"/>
      <c r="G107" s="2">
        <f t="shared" ref="G107:P107" si="39">ROUND(SUM(G97:G106),5)</f>
        <v>5586.35</v>
      </c>
      <c r="H107" s="2">
        <f t="shared" si="39"/>
        <v>10976.2</v>
      </c>
      <c r="I107" s="2">
        <f t="shared" si="39"/>
        <v>14135.36</v>
      </c>
      <c r="J107" s="2">
        <f t="shared" si="39"/>
        <v>10930.16</v>
      </c>
      <c r="K107" s="2">
        <f t="shared" si="39"/>
        <v>10308.81</v>
      </c>
      <c r="L107" s="2">
        <f t="shared" si="39"/>
        <v>9678.75</v>
      </c>
      <c r="M107" s="2">
        <f t="shared" si="39"/>
        <v>10214.36</v>
      </c>
      <c r="N107" s="2">
        <f t="shared" si="39"/>
        <v>9829.48</v>
      </c>
      <c r="O107" s="2">
        <f t="shared" si="39"/>
        <v>10186.379999999999</v>
      </c>
      <c r="P107" s="2">
        <f t="shared" si="39"/>
        <v>8570.86</v>
      </c>
      <c r="Q107" s="2">
        <f t="shared" ref="Q107:T107" si="40">ROUND(SUM(Q97:Q106),5)</f>
        <v>8570.86</v>
      </c>
      <c r="R107" s="2">
        <f t="shared" si="40"/>
        <v>8570.86</v>
      </c>
      <c r="S107" s="2">
        <f t="shared" si="40"/>
        <v>117558.43</v>
      </c>
      <c r="T107" s="78">
        <f t="shared" si="40"/>
        <v>126500</v>
      </c>
    </row>
    <row r="108" spans="1:20" x14ac:dyDescent="0.25">
      <c r="A108" s="1"/>
      <c r="B108" s="1"/>
      <c r="C108" s="1"/>
      <c r="D108" s="1"/>
      <c r="E108" s="1" t="s">
        <v>104</v>
      </c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77"/>
    </row>
    <row r="109" spans="1:20" x14ac:dyDescent="0.25">
      <c r="A109" s="1"/>
      <c r="B109" s="1"/>
      <c r="C109" s="1"/>
      <c r="D109" s="1"/>
      <c r="E109" s="1"/>
      <c r="F109" s="1" t="s">
        <v>105</v>
      </c>
      <c r="G109" s="2">
        <v>1380</v>
      </c>
      <c r="H109" s="2">
        <v>600</v>
      </c>
      <c r="I109" s="2">
        <v>467</v>
      </c>
      <c r="J109" s="2">
        <v>0</v>
      </c>
      <c r="K109" s="2">
        <v>184.55</v>
      </c>
      <c r="L109" s="2">
        <v>116.1</v>
      </c>
      <c r="M109" s="2">
        <v>0</v>
      </c>
      <c r="N109" s="2">
        <v>688.42</v>
      </c>
      <c r="O109" s="2">
        <v>0</v>
      </c>
      <c r="P109" s="2">
        <v>0</v>
      </c>
      <c r="Q109" s="2">
        <v>0</v>
      </c>
      <c r="R109" s="2">
        <v>0</v>
      </c>
      <c r="S109" s="2">
        <f t="shared" ref="S109:S110" si="41">ROUND(SUM(G109:R109),5)</f>
        <v>3436.07</v>
      </c>
      <c r="T109" s="77">
        <v>4000</v>
      </c>
    </row>
    <row r="110" spans="1:20" ht="15.75" thickBot="1" x14ac:dyDescent="0.3">
      <c r="A110" s="1"/>
      <c r="B110" s="1"/>
      <c r="C110" s="1"/>
      <c r="D110" s="1"/>
      <c r="E110" s="1"/>
      <c r="F110" s="1" t="s">
        <v>106</v>
      </c>
      <c r="G110" s="3">
        <v>5202.4399999999996</v>
      </c>
      <c r="H110" s="3">
        <v>2107.61</v>
      </c>
      <c r="I110" s="3">
        <v>2599.7600000000002</v>
      </c>
      <c r="J110" s="3">
        <v>2552.36</v>
      </c>
      <c r="K110" s="3">
        <v>2478.69</v>
      </c>
      <c r="L110" s="3">
        <v>2476.21</v>
      </c>
      <c r="M110" s="3">
        <v>5959.39</v>
      </c>
      <c r="N110" s="3">
        <v>2625.88</v>
      </c>
      <c r="O110" s="3">
        <v>2624.86</v>
      </c>
      <c r="P110" s="3">
        <v>2516.2800000000002</v>
      </c>
      <c r="Q110" s="3">
        <v>2516.2800000000002</v>
      </c>
      <c r="R110" s="3">
        <v>2516.2800000000002</v>
      </c>
      <c r="S110" s="2">
        <f t="shared" si="41"/>
        <v>36176.04</v>
      </c>
      <c r="T110" s="77">
        <v>38000</v>
      </c>
    </row>
    <row r="111" spans="1:20" x14ac:dyDescent="0.25">
      <c r="A111" s="1"/>
      <c r="B111" s="1"/>
      <c r="C111" s="1"/>
      <c r="D111" s="1"/>
      <c r="E111" s="1" t="s">
        <v>107</v>
      </c>
      <c r="F111" s="1"/>
      <c r="G111" s="2">
        <f t="shared" ref="G111:P111" si="42">ROUND(SUM(G108:G110),5)</f>
        <v>6582.44</v>
      </c>
      <c r="H111" s="2">
        <f t="shared" si="42"/>
        <v>2707.61</v>
      </c>
      <c r="I111" s="2">
        <f t="shared" si="42"/>
        <v>3066.76</v>
      </c>
      <c r="J111" s="2">
        <f t="shared" si="42"/>
        <v>2552.36</v>
      </c>
      <c r="K111" s="2">
        <f t="shared" si="42"/>
        <v>2663.24</v>
      </c>
      <c r="L111" s="2">
        <f t="shared" si="42"/>
        <v>2592.31</v>
      </c>
      <c r="M111" s="2">
        <f t="shared" si="42"/>
        <v>5959.39</v>
      </c>
      <c r="N111" s="2">
        <f t="shared" si="42"/>
        <v>3314.3</v>
      </c>
      <c r="O111" s="2">
        <f t="shared" si="42"/>
        <v>2624.86</v>
      </c>
      <c r="P111" s="2">
        <f t="shared" si="42"/>
        <v>2516.2800000000002</v>
      </c>
      <c r="Q111" s="2">
        <f t="shared" ref="Q111:T111" si="43">ROUND(SUM(Q108:Q110),5)</f>
        <v>2516.2800000000002</v>
      </c>
      <c r="R111" s="2">
        <f t="shared" si="43"/>
        <v>2516.2800000000002</v>
      </c>
      <c r="S111" s="2">
        <f t="shared" si="43"/>
        <v>39612.11</v>
      </c>
      <c r="T111" s="78">
        <f t="shared" si="43"/>
        <v>42000</v>
      </c>
    </row>
    <row r="112" spans="1:20" x14ac:dyDescent="0.25">
      <c r="A112" s="1"/>
      <c r="B112" s="1"/>
      <c r="C112" s="1"/>
      <c r="D112" s="1"/>
      <c r="E112" s="1" t="s">
        <v>108</v>
      </c>
      <c r="F112" s="1"/>
      <c r="G112" s="2">
        <v>1000</v>
      </c>
      <c r="H112" s="2">
        <v>4921.45</v>
      </c>
      <c r="I112" s="2">
        <v>3181.45</v>
      </c>
      <c r="J112" s="2">
        <v>5525.45</v>
      </c>
      <c r="K112" s="2">
        <v>3181.45</v>
      </c>
      <c r="L112" s="2">
        <v>5166.45</v>
      </c>
      <c r="M112" s="2">
        <v>-29859.55</v>
      </c>
      <c r="N112" s="2">
        <v>3181.45</v>
      </c>
      <c r="O112" s="2">
        <v>5006.45</v>
      </c>
      <c r="P112" s="2">
        <v>3181.45</v>
      </c>
      <c r="Q112" s="2">
        <v>3181.45</v>
      </c>
      <c r="R112" s="2">
        <v>3181.45</v>
      </c>
      <c r="S112" s="2">
        <f t="shared" ref="S112" si="44">ROUND(SUM(G112:R112),5)</f>
        <v>10848.95</v>
      </c>
      <c r="T112" s="77">
        <v>11500</v>
      </c>
    </row>
    <row r="113" spans="1:20" x14ac:dyDescent="0.25">
      <c r="A113" s="1"/>
      <c r="B113" s="1"/>
      <c r="C113" s="1"/>
      <c r="D113" s="1"/>
      <c r="E113" s="1" t="s">
        <v>109</v>
      </c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77"/>
    </row>
    <row r="114" spans="1:20" x14ac:dyDescent="0.25">
      <c r="A114" s="1"/>
      <c r="B114" s="1"/>
      <c r="C114" s="1"/>
      <c r="D114" s="1"/>
      <c r="E114" s="1"/>
      <c r="F114" s="1" t="s">
        <v>110</v>
      </c>
      <c r="G114" s="2">
        <v>4045.5</v>
      </c>
      <c r="H114" s="2">
        <v>4045.5</v>
      </c>
      <c r="I114" s="2">
        <v>4045.5</v>
      </c>
      <c r="J114" s="2">
        <v>4045.5</v>
      </c>
      <c r="K114" s="2">
        <v>-16182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f t="shared" ref="S114:S115" si="45">ROUND(SUM(G114:R114),5)</f>
        <v>0</v>
      </c>
      <c r="T114" s="77">
        <v>0</v>
      </c>
    </row>
    <row r="115" spans="1:20" ht="15.75" thickBot="1" x14ac:dyDescent="0.3">
      <c r="A115" s="1"/>
      <c r="B115" s="1"/>
      <c r="C115" s="1"/>
      <c r="D115" s="1"/>
      <c r="E115" s="1"/>
      <c r="F115" s="1" t="s">
        <v>111</v>
      </c>
      <c r="G115" s="4">
        <v>13478.67</v>
      </c>
      <c r="H115" s="4">
        <v>13478.67</v>
      </c>
      <c r="I115" s="4">
        <v>13478.67</v>
      </c>
      <c r="J115" s="4">
        <v>13478.67</v>
      </c>
      <c r="K115" s="4">
        <v>-53914.68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2">
        <f t="shared" si="45"/>
        <v>0</v>
      </c>
      <c r="T115" s="77">
        <v>0</v>
      </c>
    </row>
    <row r="116" spans="1:20" ht="15.75" thickBot="1" x14ac:dyDescent="0.3">
      <c r="A116" s="1"/>
      <c r="B116" s="1"/>
      <c r="C116" s="1"/>
      <c r="D116" s="1"/>
      <c r="E116" s="1" t="s">
        <v>112</v>
      </c>
      <c r="F116" s="1"/>
      <c r="G116" s="6">
        <f t="shared" ref="G116:P116" si="46">ROUND(SUM(G113:G115),5)</f>
        <v>17524.169999999998</v>
      </c>
      <c r="H116" s="6">
        <f t="shared" si="46"/>
        <v>17524.169999999998</v>
      </c>
      <c r="I116" s="6">
        <f t="shared" si="46"/>
        <v>17524.169999999998</v>
      </c>
      <c r="J116" s="6">
        <f t="shared" si="46"/>
        <v>17524.169999999998</v>
      </c>
      <c r="K116" s="6">
        <f t="shared" si="46"/>
        <v>-70096.679999999993</v>
      </c>
      <c r="L116" s="6">
        <f t="shared" si="46"/>
        <v>0</v>
      </c>
      <c r="M116" s="6">
        <f t="shared" si="46"/>
        <v>0</v>
      </c>
      <c r="N116" s="6">
        <f t="shared" si="46"/>
        <v>0</v>
      </c>
      <c r="O116" s="6">
        <f t="shared" si="46"/>
        <v>0</v>
      </c>
      <c r="P116" s="6">
        <f t="shared" si="46"/>
        <v>0</v>
      </c>
      <c r="Q116" s="6">
        <f t="shared" ref="Q116:R116" si="47">ROUND(SUM(Q113:Q115),5)</f>
        <v>0</v>
      </c>
      <c r="R116" s="6">
        <f t="shared" si="47"/>
        <v>0</v>
      </c>
      <c r="S116" s="6">
        <f>ROUND(SUM(G116:P116),5)</f>
        <v>0</v>
      </c>
      <c r="T116" s="78">
        <v>0</v>
      </c>
    </row>
    <row r="117" spans="1:20" ht="15.75" thickBot="1" x14ac:dyDescent="0.3">
      <c r="A117" s="1"/>
      <c r="B117" s="1"/>
      <c r="C117" s="1"/>
      <c r="D117" s="1" t="s">
        <v>113</v>
      </c>
      <c r="E117" s="1"/>
      <c r="F117" s="1"/>
      <c r="G117" s="6">
        <f t="shared" ref="G117:P117" si="48">ROUND(G23+G36+G44+G47+G58+G61+G65+G68+G86+G89+G92+SUM(G95:G96)+G107+SUM(G111:G112)+G116,5)</f>
        <v>125890.51</v>
      </c>
      <c r="H117" s="6">
        <f t="shared" si="48"/>
        <v>166501.81</v>
      </c>
      <c r="I117" s="6">
        <f t="shared" si="48"/>
        <v>179384.64</v>
      </c>
      <c r="J117" s="6">
        <f t="shared" si="48"/>
        <v>175057.77</v>
      </c>
      <c r="K117" s="6">
        <f t="shared" si="48"/>
        <v>195769.88</v>
      </c>
      <c r="L117" s="6">
        <f t="shared" si="48"/>
        <v>178802.87</v>
      </c>
      <c r="M117" s="6">
        <f t="shared" si="48"/>
        <v>154017.12</v>
      </c>
      <c r="N117" s="6">
        <f t="shared" si="48"/>
        <v>187608.22</v>
      </c>
      <c r="O117" s="6">
        <f t="shared" si="48"/>
        <v>188168.06</v>
      </c>
      <c r="P117" s="6">
        <f t="shared" si="48"/>
        <v>184017.79</v>
      </c>
      <c r="Q117" s="6">
        <f t="shared" ref="Q117:S117" si="49">ROUND(Q23+Q36+Q44+Q47+Q58+Q61+Q65+Q68+Q86+Q89+Q92+SUM(Q95:Q96)+Q107+SUM(Q111:Q112)+Q116,5)</f>
        <v>190242.01</v>
      </c>
      <c r="R117" s="6">
        <f t="shared" si="49"/>
        <v>147814.1</v>
      </c>
      <c r="S117" s="6">
        <f t="shared" si="49"/>
        <v>2073274.78</v>
      </c>
      <c r="T117" s="78">
        <f>ROUND(T23+T36+T44+T47+T58+T61+T65+T68+T86+T89+T92+SUM(T95:T96)+T107+SUM(T111:T112)+T116,5)+T55</f>
        <v>1970066.85601</v>
      </c>
    </row>
    <row r="118" spans="1:20" ht="15.75" thickBot="1" x14ac:dyDescent="0.3">
      <c r="A118" s="1"/>
      <c r="B118" s="1"/>
      <c r="C118" s="1" t="s">
        <v>114</v>
      </c>
      <c r="D118" s="1"/>
      <c r="E118" s="1"/>
      <c r="F118" s="1"/>
      <c r="G118" s="6">
        <f t="shared" ref="G118:P118" si="50">ROUND(G22+G117,5)</f>
        <v>125890.51</v>
      </c>
      <c r="H118" s="6">
        <f t="shared" si="50"/>
        <v>166501.81</v>
      </c>
      <c r="I118" s="6">
        <f t="shared" si="50"/>
        <v>179384.64</v>
      </c>
      <c r="J118" s="6">
        <f t="shared" si="50"/>
        <v>175057.77</v>
      </c>
      <c r="K118" s="6">
        <f t="shared" si="50"/>
        <v>195769.88</v>
      </c>
      <c r="L118" s="6">
        <f t="shared" si="50"/>
        <v>178802.87</v>
      </c>
      <c r="M118" s="6">
        <f t="shared" si="50"/>
        <v>154017.12</v>
      </c>
      <c r="N118" s="6">
        <f t="shared" si="50"/>
        <v>187608.22</v>
      </c>
      <c r="O118" s="6">
        <f t="shared" si="50"/>
        <v>188168.06</v>
      </c>
      <c r="P118" s="6">
        <f t="shared" si="50"/>
        <v>184017.79</v>
      </c>
      <c r="Q118" s="6">
        <f t="shared" ref="Q118:T118" si="51">ROUND(Q22+Q117,5)</f>
        <v>190242.01</v>
      </c>
      <c r="R118" s="6">
        <f t="shared" si="51"/>
        <v>147814.1</v>
      </c>
      <c r="S118" s="6">
        <f t="shared" si="51"/>
        <v>2073274.78</v>
      </c>
      <c r="T118" s="78">
        <f t="shared" si="51"/>
        <v>1970066.85601</v>
      </c>
    </row>
    <row r="119" spans="1:20" ht="15.75" thickBot="1" x14ac:dyDescent="0.3">
      <c r="A119" s="1"/>
      <c r="B119" s="1" t="s">
        <v>115</v>
      </c>
      <c r="C119" s="1"/>
      <c r="D119" s="1"/>
      <c r="E119" s="1"/>
      <c r="F119" s="1"/>
      <c r="G119" s="6">
        <f t="shared" ref="G119:P119" si="52">ROUND(G2+G21-G118,5)</f>
        <v>15308.39</v>
      </c>
      <c r="H119" s="6">
        <f t="shared" si="52"/>
        <v>-20893.09</v>
      </c>
      <c r="I119" s="6">
        <f t="shared" si="52"/>
        <v>73577.86</v>
      </c>
      <c r="J119" s="6">
        <f t="shared" si="52"/>
        <v>-17263.89</v>
      </c>
      <c r="K119" s="6">
        <f t="shared" si="52"/>
        <v>-46898.79</v>
      </c>
      <c r="L119" s="6">
        <f t="shared" si="52"/>
        <v>-31159.21</v>
      </c>
      <c r="M119" s="6">
        <f t="shared" si="52"/>
        <v>33175.019999999997</v>
      </c>
      <c r="N119" s="6">
        <f t="shared" si="52"/>
        <v>-18193.18</v>
      </c>
      <c r="O119" s="6">
        <f t="shared" si="52"/>
        <v>89994.9</v>
      </c>
      <c r="P119" s="6">
        <f t="shared" si="52"/>
        <v>-9579.2800000000007</v>
      </c>
      <c r="Q119" s="6">
        <f t="shared" ref="Q119:T119" si="53">ROUND(Q2+Q21-Q118,5)</f>
        <v>-20706.79</v>
      </c>
      <c r="R119" s="6">
        <f t="shared" si="53"/>
        <v>21421.119999999999</v>
      </c>
      <c r="S119" s="6">
        <f t="shared" si="53"/>
        <v>68783.75</v>
      </c>
      <c r="T119" s="78">
        <f t="shared" si="53"/>
        <v>26640.210279999999</v>
      </c>
    </row>
    <row r="120" spans="1:20" s="8" customFormat="1" ht="12" thickBot="1" x14ac:dyDescent="0.25">
      <c r="A120" s="1" t="s">
        <v>116</v>
      </c>
      <c r="B120" s="1"/>
      <c r="C120" s="1"/>
      <c r="D120" s="1"/>
      <c r="E120" s="1"/>
      <c r="F120" s="1"/>
      <c r="G120" s="7">
        <f t="shared" ref="G120:P120" si="54">G119</f>
        <v>15308.39</v>
      </c>
      <c r="H120" s="7">
        <f t="shared" si="54"/>
        <v>-20893.09</v>
      </c>
      <c r="I120" s="7">
        <f t="shared" si="54"/>
        <v>73577.86</v>
      </c>
      <c r="J120" s="7">
        <f t="shared" si="54"/>
        <v>-17263.89</v>
      </c>
      <c r="K120" s="7">
        <f t="shared" si="54"/>
        <v>-46898.79</v>
      </c>
      <c r="L120" s="7">
        <f t="shared" si="54"/>
        <v>-31159.21</v>
      </c>
      <c r="M120" s="7">
        <f t="shared" si="54"/>
        <v>33175.019999999997</v>
      </c>
      <c r="N120" s="7">
        <f t="shared" si="54"/>
        <v>-18193.18</v>
      </c>
      <c r="O120" s="7">
        <f t="shared" si="54"/>
        <v>89994.9</v>
      </c>
      <c r="P120" s="7">
        <f t="shared" si="54"/>
        <v>-9579.2800000000007</v>
      </c>
      <c r="Q120" s="7">
        <f t="shared" ref="Q120:T120" si="55">Q119</f>
        <v>-20706.79</v>
      </c>
      <c r="R120" s="7">
        <f t="shared" si="55"/>
        <v>21421.119999999999</v>
      </c>
      <c r="S120" s="7">
        <f t="shared" si="55"/>
        <v>68783.75</v>
      </c>
      <c r="T120" s="82">
        <f t="shared" si="55"/>
        <v>26640.210279999999</v>
      </c>
    </row>
    <row r="121" spans="1:20" ht="15.75" thickTop="1" x14ac:dyDescent="0.25">
      <c r="T121" s="77"/>
    </row>
    <row r="122" spans="1:20" x14ac:dyDescent="0.25">
      <c r="T122" s="83"/>
    </row>
  </sheetData>
  <pageMargins left="0.25" right="0.25" top="0.75" bottom="0.75" header="0.3" footer="0.3"/>
  <pageSetup orientation="portrait" r:id="rId1"/>
  <headerFooter>
    <oddHeader>&amp;L&amp;"Arial,Bold"&amp;8 8:06 AM
&amp;"Arial,Bold"&amp;8 05/23/23
&amp;"Arial,Bold"&amp;8 Accrual Basis&amp;C&amp;"Arial,Bold"&amp;12 Pivot Hillsborough
&amp;"Arial,Bold"&amp;14 Profit &amp;&amp; Loss
&amp;"Arial,Bold"&amp;10 July 2022 through April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9D33-6194-4B03-BB8C-C29F72D0CAA2}">
  <dimension ref="A1:F36"/>
  <sheetViews>
    <sheetView topLeftCell="A7" workbookViewId="0">
      <selection activeCell="C29" sqref="C29"/>
    </sheetView>
  </sheetViews>
  <sheetFormatPr defaultRowHeight="15" x14ac:dyDescent="0.25"/>
  <cols>
    <col min="1" max="9" width="20.7109375" customWidth="1"/>
  </cols>
  <sheetData>
    <row r="1" spans="1:6" ht="27" thickBot="1" x14ac:dyDescent="0.3">
      <c r="A1" s="21">
        <f>'[1]Pay Log'!B2</f>
        <v>6656</v>
      </c>
      <c r="B1" s="22" t="str">
        <f>'[1]Pay Log'!C2</f>
        <v>Pivot Charter School</v>
      </c>
      <c r="C1" s="23"/>
      <c r="D1" s="24"/>
      <c r="E1" s="24"/>
      <c r="F1" s="25"/>
    </row>
    <row r="2" spans="1:6" ht="18.75" thickBot="1" x14ac:dyDescent="0.3">
      <c r="A2" s="26" t="str">
        <f>CONCATENATE("Vendor: ",'[1]Pay Log'!I2)</f>
        <v>Vendor: 190722</v>
      </c>
      <c r="B2" s="27" t="s">
        <v>175</v>
      </c>
      <c r="C2" s="28">
        <f>'[1]Pay Log'!E7</f>
        <v>228</v>
      </c>
      <c r="D2" s="29" t="s">
        <v>176</v>
      </c>
      <c r="E2" s="28">
        <f>'[1]Pay Log'!I7</f>
        <v>0</v>
      </c>
      <c r="F2" s="30" t="s">
        <v>177</v>
      </c>
    </row>
    <row r="3" spans="1:6" ht="15.75" thickBot="1" x14ac:dyDescent="0.3">
      <c r="A3" s="31" t="str">
        <f>CONCATENATE("Grades: ",'[1]Pay Log'!C3)</f>
        <v>Grades: 6-12</v>
      </c>
      <c r="B3" s="32"/>
      <c r="C3" s="33"/>
      <c r="D3" s="34">
        <f>IF([1]REW!C27&gt;=250,250/[1]REW!C27,1)</f>
        <v>1</v>
      </c>
      <c r="E3" s="35">
        <v>0.05</v>
      </c>
      <c r="F3" s="36" t="s">
        <v>178</v>
      </c>
    </row>
    <row r="4" spans="1:6" ht="90" x14ac:dyDescent="0.25">
      <c r="A4" s="37"/>
      <c r="B4" s="38" t="s">
        <v>179</v>
      </c>
      <c r="C4" s="39" t="s">
        <v>180</v>
      </c>
      <c r="D4" s="40" t="s">
        <v>181</v>
      </c>
      <c r="E4" s="41" t="s">
        <v>182</v>
      </c>
      <c r="F4" s="42" t="s">
        <v>183</v>
      </c>
    </row>
    <row r="5" spans="1:6" x14ac:dyDescent="0.25">
      <c r="A5" s="43" t="s">
        <v>184</v>
      </c>
      <c r="B5" s="44">
        <f>[1]REW!H27</f>
        <v>1104127</v>
      </c>
      <c r="C5" s="45">
        <f>[1]REW!BL27</f>
        <v>0</v>
      </c>
      <c r="D5" s="45">
        <f>ROUND(IF(OR($A$1=6639,$A$1=6609,$A$1=7672),C5*$D$3,B5*$D$3),2)</f>
        <v>1104127</v>
      </c>
      <c r="E5" s="45">
        <f>ROUND(D5*$E$3,2)</f>
        <v>55206.35</v>
      </c>
      <c r="F5" s="46">
        <f>ROUND(B5-E5,2)</f>
        <v>1048920.6499999999</v>
      </c>
    </row>
    <row r="6" spans="1:6" x14ac:dyDescent="0.25">
      <c r="A6" s="43" t="s">
        <v>185</v>
      </c>
      <c r="B6" s="44">
        <f>[1]REW!H37</f>
        <v>1479</v>
      </c>
      <c r="C6" s="45">
        <f>[1]REW!BL38</f>
        <v>0</v>
      </c>
      <c r="D6" s="45">
        <f t="shared" ref="D6:D12" si="0">ROUND(IF(OR($A$1=6639,$A$1=6609,$A$1=7672),C6*$D$3,B6*$D$3),2)</f>
        <v>1479</v>
      </c>
      <c r="E6" s="45">
        <f t="shared" ref="E6:E19" si="1">ROUND(D6*$E$3,2)</f>
        <v>73.95</v>
      </c>
      <c r="F6" s="46">
        <f t="shared" ref="F6:F19" si="2">ROUND(B6-E6,2)</f>
        <v>1405.05</v>
      </c>
    </row>
    <row r="7" spans="1:6" x14ac:dyDescent="0.25">
      <c r="A7" s="43" t="s">
        <v>186</v>
      </c>
      <c r="B7" s="44">
        <f>[1]REW!H49</f>
        <v>62633</v>
      </c>
      <c r="C7" s="45">
        <f>[1]REW!BL50</f>
        <v>0</v>
      </c>
      <c r="D7" s="45">
        <f t="shared" si="0"/>
        <v>62633</v>
      </c>
      <c r="E7" s="45">
        <f t="shared" si="1"/>
        <v>3131.65</v>
      </c>
      <c r="F7" s="46">
        <f t="shared" si="2"/>
        <v>59501.35</v>
      </c>
    </row>
    <row r="8" spans="1:6" x14ac:dyDescent="0.25">
      <c r="A8" s="43" t="s">
        <v>187</v>
      </c>
      <c r="B8" s="44">
        <f>[1]REW!H58</f>
        <v>52654</v>
      </c>
      <c r="C8" s="45">
        <f>[1]REW!BL58</f>
        <v>0</v>
      </c>
      <c r="D8" s="45">
        <f t="shared" si="0"/>
        <v>52654</v>
      </c>
      <c r="E8" s="45">
        <f t="shared" si="1"/>
        <v>2632.7</v>
      </c>
      <c r="F8" s="46">
        <f t="shared" si="2"/>
        <v>50021.3</v>
      </c>
    </row>
    <row r="9" spans="1:6" x14ac:dyDescent="0.25">
      <c r="A9" s="43" t="s">
        <v>188</v>
      </c>
      <c r="B9" s="44">
        <f>[1]REW!H65</f>
        <v>6198</v>
      </c>
      <c r="C9" s="45">
        <f>[1]REW!BL64</f>
        <v>0</v>
      </c>
      <c r="D9" s="45">
        <f t="shared" si="0"/>
        <v>6198</v>
      </c>
      <c r="E9" s="45">
        <f t="shared" si="1"/>
        <v>309.89999999999998</v>
      </c>
      <c r="F9" s="46">
        <f t="shared" si="2"/>
        <v>5888.1</v>
      </c>
    </row>
    <row r="10" spans="1:6" x14ac:dyDescent="0.25">
      <c r="A10" s="43" t="s">
        <v>189</v>
      </c>
      <c r="B10" s="44">
        <f>[1]REW!H68</f>
        <v>108246</v>
      </c>
      <c r="C10" s="45">
        <f>[1]REW!BL67</f>
        <v>0</v>
      </c>
      <c r="D10" s="45">
        <f t="shared" si="0"/>
        <v>108246</v>
      </c>
      <c r="E10" s="45">
        <f t="shared" si="1"/>
        <v>5412.3</v>
      </c>
      <c r="F10" s="46">
        <f t="shared" si="2"/>
        <v>102833.7</v>
      </c>
    </row>
    <row r="11" spans="1:6" x14ac:dyDescent="0.25">
      <c r="A11" s="43" t="s">
        <v>190</v>
      </c>
      <c r="B11" s="47">
        <f>[1]REW!H72</f>
        <v>56704</v>
      </c>
      <c r="C11" s="48">
        <f>[1]REW!BL69</f>
        <v>0</v>
      </c>
      <c r="D11" s="48">
        <v>0</v>
      </c>
      <c r="E11" s="48">
        <v>0</v>
      </c>
      <c r="F11" s="49">
        <f>ROUND(B11-E11,2)</f>
        <v>56704</v>
      </c>
    </row>
    <row r="12" spans="1:6" ht="15.75" thickBot="1" x14ac:dyDescent="0.3">
      <c r="A12" s="50" t="s">
        <v>191</v>
      </c>
      <c r="B12" s="51">
        <f>[1]REW!H73</f>
        <v>0</v>
      </c>
      <c r="C12" s="52">
        <f>[1]REW!BL68</f>
        <v>0</v>
      </c>
      <c r="D12" s="52">
        <f t="shared" si="0"/>
        <v>0</v>
      </c>
      <c r="E12" s="52">
        <f t="shared" si="1"/>
        <v>0</v>
      </c>
      <c r="F12" s="53">
        <f t="shared" si="2"/>
        <v>0</v>
      </c>
    </row>
    <row r="13" spans="1:6" ht="15.75" thickTop="1" x14ac:dyDescent="0.25">
      <c r="A13" s="54" t="s">
        <v>192</v>
      </c>
      <c r="B13" s="55">
        <f t="shared" ref="B13:F13" si="3">SUM(B5:B12)</f>
        <v>1392041</v>
      </c>
      <c r="C13" s="55">
        <f t="shared" si="3"/>
        <v>0</v>
      </c>
      <c r="D13" s="55">
        <f t="shared" si="3"/>
        <v>1335337</v>
      </c>
      <c r="E13" s="55">
        <f t="shared" si="3"/>
        <v>66766.849999999991</v>
      </c>
      <c r="F13" s="55">
        <f t="shared" si="3"/>
        <v>1325274.1500000001</v>
      </c>
    </row>
    <row r="14" spans="1:6" x14ac:dyDescent="0.25">
      <c r="A14" s="43" t="s">
        <v>193</v>
      </c>
      <c r="B14" s="44">
        <f>[1]REW!H56</f>
        <v>53159</v>
      </c>
      <c r="C14" s="44">
        <f>[1]REW!BL57</f>
        <v>0</v>
      </c>
      <c r="D14" s="45">
        <f>ROUND(IF(OR($A$1=6639,$A$1=6609,$A$1=7672),C14*$D$3,B14*$D$3),2)</f>
        <v>53159</v>
      </c>
      <c r="E14" s="45">
        <f t="shared" si="1"/>
        <v>2657.95</v>
      </c>
      <c r="F14" s="46">
        <f t="shared" si="2"/>
        <v>50501.05</v>
      </c>
    </row>
    <row r="15" spans="1:6" x14ac:dyDescent="0.25">
      <c r="A15" s="43" t="s">
        <v>194</v>
      </c>
      <c r="B15" s="44">
        <f>[1]REW!H59</f>
        <v>13483</v>
      </c>
      <c r="C15" s="44">
        <f>[1]REW!BL59</f>
        <v>0</v>
      </c>
      <c r="D15" s="45">
        <f t="shared" ref="D15:D19" si="4">ROUND(IF(OR($A$1=6639,$A$1=6609,$A$1=7672),C15*$D$3,B15*$D$3),2)</f>
        <v>13483</v>
      </c>
      <c r="E15" s="45">
        <f t="shared" si="1"/>
        <v>674.15</v>
      </c>
      <c r="F15" s="46">
        <f t="shared" si="2"/>
        <v>12808.85</v>
      </c>
    </row>
    <row r="16" spans="1:6" x14ac:dyDescent="0.25">
      <c r="A16" s="43" t="s">
        <v>195</v>
      </c>
      <c r="B16" s="44">
        <f>[1]REW!H60</f>
        <v>18287</v>
      </c>
      <c r="C16" s="44">
        <f>[1]REW!BL60</f>
        <v>0</v>
      </c>
      <c r="D16" s="45">
        <f t="shared" si="4"/>
        <v>18287</v>
      </c>
      <c r="E16" s="45">
        <f t="shared" si="1"/>
        <v>914.35</v>
      </c>
      <c r="F16" s="46">
        <f t="shared" si="2"/>
        <v>17372.650000000001</v>
      </c>
    </row>
    <row r="17" spans="1:6" x14ac:dyDescent="0.25">
      <c r="A17" s="43" t="s">
        <v>196</v>
      </c>
      <c r="B17" s="44">
        <f>[1]REW!H64</f>
        <v>10684</v>
      </c>
      <c r="C17" s="44">
        <f>[1]REW!BL63</f>
        <v>0</v>
      </c>
      <c r="D17" s="45">
        <f t="shared" si="4"/>
        <v>10684</v>
      </c>
      <c r="E17" s="45">
        <f t="shared" si="1"/>
        <v>534.20000000000005</v>
      </c>
      <c r="F17" s="46">
        <f t="shared" si="2"/>
        <v>10149.799999999999</v>
      </c>
    </row>
    <row r="18" spans="1:6" x14ac:dyDescent="0.25">
      <c r="A18" s="43" t="s">
        <v>140</v>
      </c>
      <c r="B18" s="44">
        <f>[1]REW!H67</f>
        <v>11983</v>
      </c>
      <c r="C18" s="44">
        <f>[1]REW!BL66</f>
        <v>0</v>
      </c>
      <c r="D18" s="45">
        <f t="shared" si="4"/>
        <v>11983</v>
      </c>
      <c r="E18" s="44">
        <f t="shared" si="1"/>
        <v>599.15</v>
      </c>
      <c r="F18" s="46">
        <f t="shared" si="2"/>
        <v>11383.85</v>
      </c>
    </row>
    <row r="19" spans="1:6" ht="15.75" thickBot="1" x14ac:dyDescent="0.3">
      <c r="A19" s="50" t="s">
        <v>197</v>
      </c>
      <c r="B19" s="56">
        <f>[1]REW!H79</f>
        <v>220443</v>
      </c>
      <c r="C19" s="56">
        <f>[1]REW!BL76</f>
        <v>0</v>
      </c>
      <c r="D19" s="45">
        <f t="shared" si="4"/>
        <v>220443</v>
      </c>
      <c r="E19" s="57">
        <f t="shared" si="1"/>
        <v>11022.15</v>
      </c>
      <c r="F19" s="58">
        <f t="shared" si="2"/>
        <v>209420.85</v>
      </c>
    </row>
    <row r="20" spans="1:6" ht="17.25" thickBot="1" x14ac:dyDescent="0.3">
      <c r="A20" s="59" t="s">
        <v>198</v>
      </c>
      <c r="B20" s="60">
        <f t="shared" ref="B20:F20" si="5">ROUND(SUM(B13:B19),2)</f>
        <v>1720080</v>
      </c>
      <c r="C20" s="60">
        <f t="shared" si="5"/>
        <v>0</v>
      </c>
      <c r="D20" s="60">
        <f t="shared" si="5"/>
        <v>1663376</v>
      </c>
      <c r="E20" s="60">
        <f t="shared" si="5"/>
        <v>83168.800000000003</v>
      </c>
      <c r="F20" s="60">
        <f t="shared" si="5"/>
        <v>1636911.2</v>
      </c>
    </row>
    <row r="21" spans="1:6" x14ac:dyDescent="0.25">
      <c r="A21" s="61" t="s">
        <v>199</v>
      </c>
      <c r="B21" s="62">
        <f>[1]REW!H92</f>
        <v>1720080</v>
      </c>
      <c r="C21" s="62">
        <f>[1]REW!H96</f>
        <v>0</v>
      </c>
      <c r="D21" s="63"/>
      <c r="E21" s="64">
        <f>IF(OR($A$1=6639,$A$1=6609,$A$1=7672),[1]REW!I96,[1]REW!I94)</f>
        <v>83168.800000000003</v>
      </c>
      <c r="F21" s="63"/>
    </row>
    <row r="22" spans="1:6" x14ac:dyDescent="0.25">
      <c r="A22" s="65" t="s">
        <v>200</v>
      </c>
      <c r="B22" s="66">
        <f>B20-B21</f>
        <v>0</v>
      </c>
      <c r="C22" s="66">
        <f>C20-C21</f>
        <v>0</v>
      </c>
      <c r="D22" s="67"/>
      <c r="E22" s="66">
        <f>E20-E21</f>
        <v>0</v>
      </c>
      <c r="F22" s="67"/>
    </row>
    <row r="23" spans="1:6" x14ac:dyDescent="0.25">
      <c r="A23" s="68" t="s">
        <v>204</v>
      </c>
      <c r="B23" s="71">
        <v>237.61</v>
      </c>
      <c r="C23" s="69"/>
      <c r="D23" s="70"/>
      <c r="E23" s="70"/>
      <c r="F23" s="70"/>
    </row>
    <row r="24" spans="1:6" x14ac:dyDescent="0.25">
      <c r="A24" t="s">
        <v>201</v>
      </c>
      <c r="B24" s="72">
        <f>B21/B23</f>
        <v>7239.0892639198682</v>
      </c>
    </row>
    <row r="25" spans="1:6" ht="15.75" thickBot="1" x14ac:dyDescent="0.3">
      <c r="A25" t="s">
        <v>202</v>
      </c>
      <c r="B25" s="72">
        <v>157</v>
      </c>
    </row>
    <row r="26" spans="1:6" x14ac:dyDescent="0.25">
      <c r="A26" t="s">
        <v>203</v>
      </c>
      <c r="B26" s="73">
        <f>B24+B25</f>
        <v>7396.0892639198682</v>
      </c>
    </row>
    <row r="27" spans="1:6" ht="15.75" thickBot="1" x14ac:dyDescent="0.3">
      <c r="A27" t="s">
        <v>205</v>
      </c>
      <c r="B27" s="72">
        <v>236</v>
      </c>
    </row>
    <row r="28" spans="1:6" ht="15.75" thickBot="1" x14ac:dyDescent="0.3">
      <c r="A28" t="s">
        <v>206</v>
      </c>
      <c r="B28" s="74">
        <f>B27*B26</f>
        <v>1745477.0662850889</v>
      </c>
    </row>
    <row r="29" spans="1:6" x14ac:dyDescent="0.25">
      <c r="B29" s="72"/>
    </row>
    <row r="30" spans="1:6" x14ac:dyDescent="0.25">
      <c r="B30" s="72"/>
    </row>
    <row r="31" spans="1:6" x14ac:dyDescent="0.25">
      <c r="B31" s="72"/>
    </row>
    <row r="32" spans="1:6" x14ac:dyDescent="0.25">
      <c r="B32" s="72"/>
    </row>
    <row r="33" spans="2:2" x14ac:dyDescent="0.25">
      <c r="B33" s="72"/>
    </row>
    <row r="34" spans="2:2" x14ac:dyDescent="0.25">
      <c r="B34" s="72"/>
    </row>
    <row r="35" spans="2:2" x14ac:dyDescent="0.25">
      <c r="B35" s="72"/>
    </row>
    <row r="36" spans="2:2" x14ac:dyDescent="0.25">
      <c r="B36" s="72"/>
    </row>
  </sheetData>
  <conditionalFormatting sqref="B5:F20">
    <cfRule type="cellIs" dxfId="1" priority="1" operator="lessThan">
      <formula>0</formula>
    </cfRule>
  </conditionalFormatting>
  <conditionalFormatting sqref="D3">
    <cfRule type="cellIs" dxfId="0" priority="2" stopIfTrue="1" operator="greaterThanOrEqual">
      <formula>1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8E4F2-3E80-42AE-AA62-23CD680E8E22}">
  <dimension ref="A1:AA43"/>
  <sheetViews>
    <sheetView workbookViewId="0">
      <pane ySplit="1" topLeftCell="A20" activePane="bottomLeft" state="frozen"/>
      <selection pane="bottomLeft" activeCell="J11" sqref="J11"/>
    </sheetView>
  </sheetViews>
  <sheetFormatPr defaultRowHeight="15" x14ac:dyDescent="0.25"/>
  <cols>
    <col min="10" max="10" width="9.85546875" customWidth="1"/>
    <col min="11" max="11" width="10.5703125" style="19" bestFit="1" customWidth="1"/>
    <col min="12" max="12" width="9.28515625" style="19" bestFit="1" customWidth="1"/>
    <col min="13" max="16" width="10.5703125" style="19" bestFit="1" customWidth="1"/>
    <col min="17" max="17" width="9.28515625" style="19" bestFit="1" customWidth="1"/>
    <col min="18" max="18" width="12.42578125" style="19" customWidth="1"/>
    <col min="19" max="27" width="9.140625" style="19"/>
  </cols>
  <sheetData>
    <row r="1" spans="1:19" ht="15.75" thickBot="1" x14ac:dyDescent="0.3">
      <c r="B1" t="s">
        <v>121</v>
      </c>
      <c r="M1" s="13">
        <v>7300110</v>
      </c>
      <c r="N1" s="13">
        <v>7300160</v>
      </c>
      <c r="O1" s="13">
        <v>5100120</v>
      </c>
      <c r="P1" s="13">
        <v>5200120</v>
      </c>
      <c r="Q1" s="13">
        <v>6100160</v>
      </c>
      <c r="R1" s="20"/>
      <c r="S1" s="20"/>
    </row>
    <row r="2" spans="1:19" ht="30.75" thickBot="1" x14ac:dyDescent="0.3">
      <c r="A2" s="14" t="s">
        <v>122</v>
      </c>
      <c r="B2" s="14" t="s">
        <v>123</v>
      </c>
      <c r="C2" s="15"/>
      <c r="D2" s="15" t="s">
        <v>124</v>
      </c>
      <c r="E2" s="14" t="s">
        <v>125</v>
      </c>
      <c r="F2" s="15"/>
      <c r="G2" s="14" t="s">
        <v>120</v>
      </c>
      <c r="H2" s="15"/>
      <c r="I2" s="14"/>
      <c r="J2" s="14"/>
    </row>
    <row r="3" spans="1:19" ht="15.75" thickBot="1" x14ac:dyDescent="0.3">
      <c r="A3" s="14"/>
      <c r="B3" s="14"/>
      <c r="C3" s="14"/>
      <c r="D3" s="15"/>
      <c r="E3" s="15"/>
      <c r="F3" s="15"/>
      <c r="G3" s="15"/>
      <c r="H3" s="15"/>
      <c r="I3" s="14"/>
      <c r="J3" s="14"/>
    </row>
    <row r="4" spans="1:19" ht="30.75" thickBot="1" x14ac:dyDescent="0.3">
      <c r="A4" s="14" t="s">
        <v>126</v>
      </c>
      <c r="B4" s="14" t="s">
        <v>127</v>
      </c>
      <c r="C4" s="15"/>
      <c r="D4" s="16">
        <v>78000</v>
      </c>
      <c r="E4" s="16">
        <v>2000</v>
      </c>
      <c r="F4" s="15"/>
      <c r="G4" s="16">
        <v>80000</v>
      </c>
      <c r="H4" s="15"/>
      <c r="I4" s="14"/>
      <c r="J4" s="14"/>
      <c r="M4" s="19">
        <f>G4</f>
        <v>80000</v>
      </c>
    </row>
    <row r="5" spans="1:19" ht="15.75" thickBot="1" x14ac:dyDescent="0.3">
      <c r="A5" s="14"/>
      <c r="B5" s="14"/>
      <c r="C5" s="14"/>
      <c r="D5" s="15"/>
      <c r="E5" s="15"/>
      <c r="F5" s="15"/>
      <c r="G5" s="15"/>
      <c r="H5" s="15"/>
      <c r="I5" s="14"/>
      <c r="J5" s="14"/>
    </row>
    <row r="6" spans="1:19" ht="15.75" thickBot="1" x14ac:dyDescent="0.3">
      <c r="A6" s="14"/>
      <c r="B6" s="14"/>
      <c r="C6" s="14"/>
      <c r="D6" s="15"/>
      <c r="E6" s="15"/>
      <c r="F6" s="15"/>
      <c r="G6" s="15"/>
      <c r="H6" s="15"/>
      <c r="I6" s="14"/>
      <c r="J6" s="14"/>
    </row>
    <row r="7" spans="1:19" ht="15.75" thickBot="1" x14ac:dyDescent="0.3">
      <c r="A7" s="14" t="s">
        <v>128</v>
      </c>
      <c r="B7" s="14" t="s">
        <v>129</v>
      </c>
      <c r="C7" s="15"/>
      <c r="D7" s="16">
        <v>47500</v>
      </c>
      <c r="E7" s="16">
        <v>2000</v>
      </c>
      <c r="F7" s="15"/>
      <c r="G7" s="16">
        <v>49500</v>
      </c>
      <c r="H7" s="15"/>
      <c r="I7" s="14"/>
      <c r="J7" s="14"/>
      <c r="O7" s="19">
        <f>G7</f>
        <v>49500</v>
      </c>
    </row>
    <row r="8" spans="1:19" ht="30.75" thickBot="1" x14ac:dyDescent="0.3">
      <c r="A8" s="14" t="s">
        <v>130</v>
      </c>
      <c r="B8" s="14" t="s">
        <v>131</v>
      </c>
      <c r="C8" s="15"/>
      <c r="D8" s="16">
        <v>52750</v>
      </c>
      <c r="E8" s="16">
        <v>2000</v>
      </c>
      <c r="F8" s="15"/>
      <c r="G8" s="16">
        <v>54750</v>
      </c>
      <c r="H8" s="15"/>
      <c r="I8" s="14"/>
      <c r="J8" s="14"/>
      <c r="O8" s="19">
        <f>G8</f>
        <v>54750</v>
      </c>
    </row>
    <row r="9" spans="1:19" ht="30.75" thickBot="1" x14ac:dyDescent="0.3">
      <c r="A9" s="14" t="s">
        <v>132</v>
      </c>
      <c r="B9" s="17" t="s">
        <v>133</v>
      </c>
      <c r="C9" s="15"/>
      <c r="D9" s="16">
        <v>57500</v>
      </c>
      <c r="E9" s="16">
        <v>2000</v>
      </c>
      <c r="F9" s="15"/>
      <c r="G9" s="16">
        <v>59500</v>
      </c>
      <c r="H9" s="15"/>
      <c r="I9" s="14"/>
      <c r="J9" s="14"/>
      <c r="K9" s="19" t="s">
        <v>218</v>
      </c>
      <c r="O9" s="19">
        <f>G9</f>
        <v>59500</v>
      </c>
    </row>
    <row r="10" spans="1:19" ht="30.75" thickBot="1" x14ac:dyDescent="0.3">
      <c r="A10" s="14" t="s">
        <v>134</v>
      </c>
      <c r="B10" s="14" t="s">
        <v>135</v>
      </c>
      <c r="C10" s="14"/>
      <c r="D10" s="16">
        <v>34650</v>
      </c>
      <c r="E10" s="15"/>
      <c r="F10" s="15"/>
      <c r="G10" s="16">
        <v>47500</v>
      </c>
      <c r="H10" s="17" t="s">
        <v>136</v>
      </c>
      <c r="I10" s="14"/>
      <c r="J10" s="14"/>
      <c r="O10" s="19">
        <f>G10</f>
        <v>47500</v>
      </c>
    </row>
    <row r="11" spans="1:19" ht="45.75" thickBot="1" x14ac:dyDescent="0.3">
      <c r="A11" s="14" t="s">
        <v>137</v>
      </c>
      <c r="B11" s="14" t="s">
        <v>138</v>
      </c>
      <c r="C11" s="15"/>
      <c r="D11" s="16">
        <v>46000</v>
      </c>
      <c r="E11" s="15"/>
      <c r="F11" s="15"/>
      <c r="G11" s="16">
        <v>46000</v>
      </c>
      <c r="H11" s="15"/>
      <c r="I11" s="14"/>
      <c r="J11" s="14"/>
      <c r="N11" s="19">
        <f>G11</f>
        <v>46000</v>
      </c>
    </row>
    <row r="12" spans="1:19" ht="30.75" thickBot="1" x14ac:dyDescent="0.3">
      <c r="A12" s="14" t="s">
        <v>139</v>
      </c>
      <c r="B12" s="14" t="s">
        <v>140</v>
      </c>
      <c r="C12" s="15"/>
      <c r="D12" s="16">
        <v>53250</v>
      </c>
      <c r="E12" s="16">
        <v>2000</v>
      </c>
      <c r="F12" s="15"/>
      <c r="G12" s="16">
        <v>55250</v>
      </c>
      <c r="H12" s="15"/>
      <c r="I12" s="14"/>
      <c r="J12" s="14"/>
      <c r="O12" s="19">
        <f>G12</f>
        <v>55250</v>
      </c>
    </row>
    <row r="13" spans="1:19" ht="30.75" thickBot="1" x14ac:dyDescent="0.3">
      <c r="A13" s="14" t="s">
        <v>141</v>
      </c>
      <c r="B13" s="14" t="s">
        <v>142</v>
      </c>
      <c r="C13" s="15"/>
      <c r="D13" s="16">
        <v>51250</v>
      </c>
      <c r="E13" s="16">
        <v>2000</v>
      </c>
      <c r="F13" s="15"/>
      <c r="G13" s="16">
        <v>53250</v>
      </c>
      <c r="H13" s="15"/>
      <c r="I13" s="14"/>
      <c r="J13" s="14"/>
      <c r="O13" s="19">
        <f>G13</f>
        <v>53250</v>
      </c>
    </row>
    <row r="14" spans="1:19" ht="15.75" thickBot="1" x14ac:dyDescent="0.3">
      <c r="A14" s="14" t="s">
        <v>143</v>
      </c>
      <c r="B14" s="17" t="s">
        <v>144</v>
      </c>
      <c r="C14" s="15"/>
      <c r="D14" s="18">
        <v>59000</v>
      </c>
      <c r="E14" s="15"/>
      <c r="F14" s="15"/>
      <c r="G14" s="16">
        <v>59000</v>
      </c>
      <c r="H14" s="17" t="s">
        <v>145</v>
      </c>
      <c r="I14" s="14"/>
      <c r="J14" s="14"/>
      <c r="K14" s="19" t="s">
        <v>132</v>
      </c>
      <c r="N14" s="75">
        <v>0</v>
      </c>
    </row>
    <row r="15" spans="1:19" ht="30.75" thickBot="1" x14ac:dyDescent="0.3">
      <c r="A15" s="14" t="s">
        <v>146</v>
      </c>
      <c r="B15" s="14" t="s">
        <v>147</v>
      </c>
      <c r="C15" s="15"/>
      <c r="D15" s="16">
        <v>50250</v>
      </c>
      <c r="E15" s="16">
        <v>2000</v>
      </c>
      <c r="F15" s="15"/>
      <c r="G15" s="16">
        <v>52250</v>
      </c>
      <c r="H15" s="15"/>
      <c r="I15" s="14"/>
      <c r="J15" s="14"/>
      <c r="O15" s="19">
        <f>G15</f>
        <v>52250</v>
      </c>
    </row>
    <row r="16" spans="1:19" ht="30.75" thickBot="1" x14ac:dyDescent="0.3">
      <c r="A16" s="15" t="s">
        <v>148</v>
      </c>
      <c r="B16" s="14" t="s">
        <v>149</v>
      </c>
      <c r="C16" s="15"/>
      <c r="D16" s="16">
        <v>53500</v>
      </c>
      <c r="E16" s="16">
        <v>2000</v>
      </c>
      <c r="F16" s="15"/>
      <c r="G16" s="16">
        <v>55500</v>
      </c>
      <c r="H16" s="15"/>
      <c r="I16" s="14"/>
      <c r="J16" s="14"/>
      <c r="O16" s="19">
        <f>G16</f>
        <v>55500</v>
      </c>
    </row>
    <row r="17" spans="1:18" ht="45.75" thickBot="1" x14ac:dyDescent="0.3">
      <c r="A17" s="14" t="s">
        <v>150</v>
      </c>
      <c r="B17" s="14" t="s">
        <v>151</v>
      </c>
      <c r="C17" s="14"/>
      <c r="D17" s="16">
        <v>47500</v>
      </c>
      <c r="E17" s="15"/>
      <c r="F17" s="15"/>
      <c r="G17" s="16">
        <v>47500</v>
      </c>
      <c r="H17" s="15"/>
      <c r="I17" s="14"/>
      <c r="J17" s="14"/>
      <c r="O17" s="19">
        <f>G17</f>
        <v>47500</v>
      </c>
    </row>
    <row r="18" spans="1:18" ht="30.75" thickBot="1" x14ac:dyDescent="0.3">
      <c r="A18" s="14" t="s">
        <v>152</v>
      </c>
      <c r="B18" s="14" t="s">
        <v>153</v>
      </c>
      <c r="C18" s="15"/>
      <c r="D18" s="16">
        <v>52750</v>
      </c>
      <c r="E18" s="15"/>
      <c r="F18" s="15"/>
      <c r="G18" s="16">
        <v>52750</v>
      </c>
      <c r="H18" s="15"/>
      <c r="I18" s="14"/>
      <c r="J18" s="14"/>
      <c r="O18" s="19">
        <f>G18</f>
        <v>52750</v>
      </c>
    </row>
    <row r="19" spans="1:18" ht="30.75" thickBot="1" x14ac:dyDescent="0.3">
      <c r="A19" s="14" t="s">
        <v>143</v>
      </c>
      <c r="B19" s="14" t="s">
        <v>154</v>
      </c>
      <c r="C19" s="14"/>
      <c r="D19" s="18">
        <v>47500</v>
      </c>
      <c r="E19" s="15"/>
      <c r="F19" s="15"/>
      <c r="G19" s="15">
        <v>47500</v>
      </c>
      <c r="H19" s="14" t="s">
        <v>155</v>
      </c>
      <c r="I19" s="14"/>
      <c r="J19" s="14"/>
      <c r="O19" s="75">
        <f>G19</f>
        <v>47500</v>
      </c>
    </row>
    <row r="20" spans="1:18" ht="30.75" thickBot="1" x14ac:dyDescent="0.3">
      <c r="A20" s="14" t="s">
        <v>143</v>
      </c>
      <c r="B20" s="17" t="s">
        <v>156</v>
      </c>
      <c r="C20" s="14"/>
      <c r="D20" s="16">
        <v>48000</v>
      </c>
      <c r="E20" s="16">
        <v>2000</v>
      </c>
      <c r="F20" s="15"/>
      <c r="G20" s="16">
        <v>50000</v>
      </c>
      <c r="H20" s="14" t="s">
        <v>157</v>
      </c>
      <c r="I20" s="14"/>
      <c r="J20" s="14"/>
      <c r="Q20" s="75">
        <v>0</v>
      </c>
      <c r="R20" s="19" t="s">
        <v>158</v>
      </c>
    </row>
    <row r="21" spans="1:18" ht="30.75" thickBot="1" x14ac:dyDescent="0.3">
      <c r="A21" s="14" t="s">
        <v>159</v>
      </c>
      <c r="B21" s="14" t="s">
        <v>160</v>
      </c>
      <c r="C21" s="14"/>
      <c r="D21" s="16">
        <v>38500</v>
      </c>
      <c r="E21" s="15"/>
      <c r="F21" s="15"/>
      <c r="G21" s="16">
        <v>38500</v>
      </c>
      <c r="H21" s="15"/>
      <c r="I21" s="14"/>
      <c r="J21" s="14"/>
      <c r="N21" s="19">
        <f>G21</f>
        <v>38500</v>
      </c>
    </row>
    <row r="22" spans="1:18" ht="30.75" thickBot="1" x14ac:dyDescent="0.3">
      <c r="A22" s="14" t="s">
        <v>161</v>
      </c>
      <c r="B22" s="14" t="s">
        <v>162</v>
      </c>
      <c r="C22" s="14"/>
      <c r="D22" s="16">
        <v>34500</v>
      </c>
      <c r="E22" s="15"/>
      <c r="F22" s="15"/>
      <c r="G22" s="16">
        <v>34500</v>
      </c>
      <c r="H22" s="15"/>
      <c r="I22" s="14"/>
      <c r="J22" s="14"/>
      <c r="N22" s="19">
        <v>34500</v>
      </c>
    </row>
    <row r="23" spans="1:18" ht="45.75" thickBot="1" x14ac:dyDescent="0.3">
      <c r="A23" s="14" t="s">
        <v>163</v>
      </c>
      <c r="B23" s="14" t="s">
        <v>164</v>
      </c>
      <c r="C23" s="14"/>
      <c r="D23" s="16">
        <v>49000</v>
      </c>
      <c r="E23" s="15"/>
      <c r="F23" s="15"/>
      <c r="G23" s="16">
        <v>49000</v>
      </c>
      <c r="H23" s="15"/>
      <c r="I23" s="14"/>
      <c r="J23" s="14"/>
      <c r="P23" s="19">
        <f>G23</f>
        <v>49000</v>
      </c>
    </row>
    <row r="24" spans="1:18" ht="30.75" thickBot="1" x14ac:dyDescent="0.3">
      <c r="A24" s="14" t="s">
        <v>165</v>
      </c>
      <c r="B24" s="14" t="s">
        <v>166</v>
      </c>
      <c r="C24" s="15"/>
      <c r="D24" s="16">
        <v>49000</v>
      </c>
      <c r="E24" s="15"/>
      <c r="F24" s="15"/>
      <c r="G24" s="16">
        <v>49000</v>
      </c>
      <c r="H24" s="15"/>
      <c r="I24" s="14"/>
      <c r="J24" s="14"/>
      <c r="O24" s="19">
        <f>G24</f>
        <v>49000</v>
      </c>
    </row>
    <row r="25" spans="1:18" ht="45.75" thickBot="1" x14ac:dyDescent="0.3">
      <c r="A25" s="14" t="s">
        <v>167</v>
      </c>
      <c r="B25" s="14" t="s">
        <v>168</v>
      </c>
      <c r="C25" s="15"/>
      <c r="D25" s="16">
        <v>50250</v>
      </c>
      <c r="E25" s="16">
        <v>2000</v>
      </c>
      <c r="F25" s="15"/>
      <c r="G25" s="16">
        <v>52250</v>
      </c>
      <c r="H25" s="15"/>
      <c r="I25" s="14"/>
      <c r="J25" s="14"/>
      <c r="O25" s="19">
        <f>G25</f>
        <v>52250</v>
      </c>
    </row>
    <row r="26" spans="1:18" ht="15.75" thickBot="1" x14ac:dyDescent="0.3">
      <c r="A26" s="14"/>
      <c r="B26" s="14"/>
      <c r="C26" s="14"/>
      <c r="D26" s="15"/>
      <c r="E26" s="15"/>
      <c r="F26" s="15"/>
      <c r="G26" s="15"/>
      <c r="H26" s="15"/>
      <c r="I26" s="14"/>
      <c r="J26" s="14"/>
      <c r="L26" s="19">
        <f>SUM(L4:L25)</f>
        <v>0</v>
      </c>
      <c r="M26" s="19">
        <f t="shared" ref="M26:Q26" si="0">SUM(M4:M25)</f>
        <v>80000</v>
      </c>
      <c r="N26" s="19">
        <f t="shared" si="0"/>
        <v>119000</v>
      </c>
      <c r="O26" s="19">
        <f t="shared" si="0"/>
        <v>676500</v>
      </c>
      <c r="P26" s="19">
        <f t="shared" si="0"/>
        <v>49000</v>
      </c>
      <c r="Q26" s="19">
        <f t="shared" si="0"/>
        <v>0</v>
      </c>
      <c r="R26" s="19">
        <f>SUM(M26:Q26)</f>
        <v>924500</v>
      </c>
    </row>
    <row r="27" spans="1:18" ht="15.75" thickBot="1" x14ac:dyDescent="0.3">
      <c r="A27" s="17" t="s">
        <v>169</v>
      </c>
      <c r="B27" s="14"/>
      <c r="C27" s="14"/>
      <c r="D27" s="15"/>
      <c r="E27" s="15"/>
      <c r="F27" s="15"/>
      <c r="G27" s="15"/>
      <c r="H27" s="15"/>
      <c r="I27" s="14"/>
      <c r="J27" s="14"/>
    </row>
    <row r="28" spans="1:18" ht="15.75" thickBot="1" x14ac:dyDescent="0.3">
      <c r="A28" s="14"/>
      <c r="B28" s="14"/>
      <c r="C28" s="14"/>
      <c r="D28" s="15"/>
      <c r="E28" s="15"/>
      <c r="F28" s="15"/>
      <c r="G28" s="15"/>
      <c r="H28" s="15"/>
      <c r="I28" s="14"/>
      <c r="J28" s="14"/>
      <c r="K28" s="19" t="s">
        <v>170</v>
      </c>
      <c r="M28" s="19">
        <f>0.062*M26</f>
        <v>4960</v>
      </c>
      <c r="N28" s="19">
        <f t="shared" ref="N28:Q28" si="1">0.062*N26</f>
        <v>7378</v>
      </c>
      <c r="O28" s="19">
        <f t="shared" si="1"/>
        <v>41943</v>
      </c>
      <c r="P28" s="19">
        <f t="shared" si="1"/>
        <v>3038</v>
      </c>
      <c r="Q28" s="19">
        <f t="shared" si="1"/>
        <v>0</v>
      </c>
      <c r="R28" s="19">
        <f t="shared" ref="R28:R30" si="2">SUM(M28:Q28)</f>
        <v>57319</v>
      </c>
    </row>
    <row r="29" spans="1:18" ht="15.75" thickBot="1" x14ac:dyDescent="0.3">
      <c r="A29" s="14"/>
      <c r="B29" s="14"/>
      <c r="C29" s="14"/>
      <c r="D29" s="15"/>
      <c r="E29" s="15"/>
      <c r="F29" s="15"/>
      <c r="G29" s="15"/>
      <c r="H29" s="15"/>
      <c r="I29" s="14"/>
      <c r="J29" s="14"/>
      <c r="K29" s="19" t="s">
        <v>171</v>
      </c>
      <c r="M29" s="19">
        <f>0.0145*M26</f>
        <v>1160</v>
      </c>
      <c r="N29" s="19">
        <f t="shared" ref="N29:Q29" si="3">0.0145*N26</f>
        <v>1725.5</v>
      </c>
      <c r="O29" s="19">
        <f t="shared" si="3"/>
        <v>9809.25</v>
      </c>
      <c r="P29" s="19">
        <f t="shared" si="3"/>
        <v>710.5</v>
      </c>
      <c r="Q29" s="19">
        <f t="shared" si="3"/>
        <v>0</v>
      </c>
      <c r="R29" s="19">
        <f t="shared" si="2"/>
        <v>13405.25</v>
      </c>
    </row>
    <row r="30" spans="1:18" ht="15.75" thickBot="1" x14ac:dyDescent="0.3">
      <c r="A30" s="14"/>
      <c r="B30" s="14"/>
      <c r="C30" s="14"/>
      <c r="D30" s="15"/>
      <c r="E30" s="15"/>
      <c r="F30" s="15"/>
      <c r="G30" s="15"/>
      <c r="H30" s="15"/>
      <c r="I30" s="14"/>
      <c r="J30" s="14"/>
      <c r="K30" s="19" t="s">
        <v>172</v>
      </c>
      <c r="M30" s="19">
        <f>0.04*M33</f>
        <v>280</v>
      </c>
      <c r="N30" s="19">
        <f t="shared" ref="N30:Q30" si="4">0.04*N33</f>
        <v>1120</v>
      </c>
      <c r="O30" s="19">
        <f t="shared" si="4"/>
        <v>3640</v>
      </c>
      <c r="P30" s="19">
        <f t="shared" si="4"/>
        <v>280</v>
      </c>
      <c r="Q30" s="19">
        <f t="shared" si="4"/>
        <v>280</v>
      </c>
      <c r="R30" s="19">
        <f t="shared" si="2"/>
        <v>5600</v>
      </c>
    </row>
    <row r="31" spans="1:18" ht="15.75" thickBot="1" x14ac:dyDescent="0.3">
      <c r="A31" s="14"/>
      <c r="B31" s="14"/>
      <c r="C31" s="14"/>
      <c r="D31" s="15"/>
      <c r="E31" s="15"/>
      <c r="F31" s="15"/>
      <c r="G31" s="15"/>
      <c r="H31" s="15"/>
      <c r="I31" s="14"/>
      <c r="J31" s="14"/>
    </row>
    <row r="32" spans="1:18" ht="15.75" thickBot="1" x14ac:dyDescent="0.3">
      <c r="A32" s="14"/>
      <c r="B32" s="14"/>
      <c r="C32" s="14"/>
      <c r="D32" s="15"/>
      <c r="E32" s="15"/>
      <c r="F32" s="15"/>
      <c r="G32" s="15"/>
      <c r="H32" s="15"/>
      <c r="I32" s="14"/>
      <c r="J32" s="14"/>
    </row>
    <row r="33" spans="1:18" ht="15.75" thickBot="1" x14ac:dyDescent="0.3">
      <c r="A33" s="14"/>
      <c r="B33" s="14"/>
      <c r="C33" s="14"/>
      <c r="D33" s="15"/>
      <c r="E33" s="14"/>
      <c r="F33" s="14"/>
      <c r="G33" s="14"/>
      <c r="H33" s="14"/>
      <c r="I33" s="14"/>
      <c r="J33" s="14"/>
      <c r="K33" s="19" t="s">
        <v>174</v>
      </c>
      <c r="L33" s="19">
        <v>7000</v>
      </c>
      <c r="M33" s="19">
        <f>L33*M34</f>
        <v>7000</v>
      </c>
      <c r="N33" s="19">
        <f>N34*L33</f>
        <v>28000</v>
      </c>
      <c r="O33" s="19">
        <f>O34*L33</f>
        <v>91000</v>
      </c>
      <c r="P33" s="19">
        <f>P34*L33</f>
        <v>7000</v>
      </c>
      <c r="Q33" s="19">
        <f>Q34*L33</f>
        <v>7000</v>
      </c>
    </row>
    <row r="34" spans="1:18" ht="15.75" thickBo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9" t="s">
        <v>173</v>
      </c>
      <c r="M34" s="19">
        <v>1</v>
      </c>
      <c r="N34" s="19">
        <v>4</v>
      </c>
      <c r="O34" s="19">
        <v>13</v>
      </c>
      <c r="P34" s="19">
        <v>1</v>
      </c>
      <c r="Q34" s="19">
        <v>1</v>
      </c>
      <c r="R34" s="19">
        <f t="shared" ref="R34" si="5">SUM(M34:Q34)</f>
        <v>20</v>
      </c>
    </row>
    <row r="35" spans="1:18" ht="15.75" thickBot="1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8" ht="15.75" thickBo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3" t="s">
        <v>170</v>
      </c>
      <c r="M36" s="19">
        <f>M28+N28</f>
        <v>12338</v>
      </c>
    </row>
    <row r="37" spans="1:18" ht="15.75" thickBo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9" t="s">
        <v>171</v>
      </c>
      <c r="M37" s="19">
        <f>M29+N29</f>
        <v>2885.5</v>
      </c>
    </row>
    <row r="38" spans="1:18" x14ac:dyDescent="0.25">
      <c r="K38" s="19" t="s">
        <v>172</v>
      </c>
      <c r="M38" s="19">
        <f>M30+N30</f>
        <v>1400</v>
      </c>
    </row>
    <row r="39" spans="1:18" x14ac:dyDescent="0.25">
      <c r="K39" s="13"/>
    </row>
    <row r="40" spans="1:18" x14ac:dyDescent="0.25">
      <c r="K40" s="13"/>
    </row>
    <row r="41" spans="1:18" x14ac:dyDescent="0.25">
      <c r="K41" s="13"/>
    </row>
    <row r="42" spans="1:18" x14ac:dyDescent="0.25">
      <c r="K42" s="13"/>
    </row>
    <row r="43" spans="1:18" x14ac:dyDescent="0.25">
      <c r="K4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funding</vt:lpstr>
      <vt:lpstr>payroll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Levine</dc:creator>
  <cp:lastModifiedBy>Mark Levine</cp:lastModifiedBy>
  <cp:lastPrinted>2023-07-11T16:43:57Z</cp:lastPrinted>
  <dcterms:created xsi:type="dcterms:W3CDTF">2023-05-23T12:06:23Z</dcterms:created>
  <dcterms:modified xsi:type="dcterms:W3CDTF">2023-07-18T13:35:19Z</dcterms:modified>
</cp:coreProperties>
</file>